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 tabRatio="752" activeTab="1"/>
  </bookViews>
  <sheets>
    <sheet name="2110200" sheetId="210" r:id="rId1"/>
    <sheet name="2110300" sheetId="241" r:id="rId2"/>
    <sheet name="2110600" sheetId="254" r:id="rId3"/>
    <sheet name="2110700" sheetId="307" r:id="rId4"/>
    <sheet name="21201" sheetId="313" r:id="rId5"/>
    <sheet name="2120400" sheetId="308" r:id="rId6"/>
    <sheet name="2140100." sheetId="211" r:id="rId7"/>
    <sheet name="2150200" sheetId="243" r:id="rId8"/>
    <sheet name="21503" sheetId="284" r:id="rId9"/>
    <sheet name="2160100" sheetId="212" r:id="rId10"/>
    <sheet name="2160200" sheetId="213" r:id="rId11"/>
    <sheet name="PARTIDA 22104" sheetId="289" r:id="rId12"/>
    <sheet name="2210501" sheetId="216" r:id="rId13"/>
    <sheet name="PARTIDA 22106" sheetId="290" r:id="rId14"/>
    <sheet name="PARTIDA 22204" sheetId="291" r:id="rId15"/>
    <sheet name="2230200" sheetId="224" r:id="rId16"/>
    <sheet name="PARTIDA 23701" sheetId="270" r:id="rId17"/>
    <sheet name="PARTIDA 23705" sheetId="292" r:id="rId18"/>
    <sheet name="PARTIDA 23902" sheetId="293" r:id="rId19"/>
    <sheet name="2140100" sheetId="214" r:id="rId20"/>
    <sheet name="2410200 " sheetId="256" r:id="rId21"/>
    <sheet name="2420100" sheetId="257" r:id="rId22"/>
    <sheet name="PARTIDA 24301" sheetId="294" r:id="rId23"/>
    <sheet name="PARTIDA 24503" sheetId="295" r:id="rId24"/>
    <sheet name="2460100" sheetId="223" r:id="rId25"/>
    <sheet name="PARTIDA 24701" sheetId="296" r:id="rId26"/>
    <sheet name="PARTIDA 24702" sheetId="297" r:id="rId27"/>
    <sheet name="2470300 " sheetId="258" r:id="rId28"/>
    <sheet name="2470400" sheetId="236" r:id="rId29"/>
    <sheet name="PARTIDA 24803" sheetId="298" r:id="rId30"/>
    <sheet name="2480700" sheetId="251" r:id="rId31"/>
    <sheet name="2490100" sheetId="250" r:id="rId32"/>
    <sheet name="25102" sheetId="276" r:id="rId33"/>
    <sheet name="2520100" sheetId="259" r:id="rId34"/>
    <sheet name="2530100 " sheetId="260" r:id="rId35"/>
    <sheet name="PARTIDA 25303" sheetId="299" r:id="rId36"/>
    <sheet name="25401" sheetId="277" r:id="rId37"/>
    <sheet name="PARTIDA 25501" sheetId="300" r:id="rId38"/>
    <sheet name="PARTIDA 25502" sheetId="271" r:id="rId39"/>
    <sheet name="PARTIDA 25601" sheetId="301" r:id="rId40"/>
    <sheet name="25901" sheetId="278" r:id="rId41"/>
    <sheet name="2610100" sheetId="225" r:id="rId42"/>
    <sheet name="2710600" sheetId="247" r:id="rId43"/>
    <sheet name="2720300" sheetId="261" r:id="rId44"/>
    <sheet name="2720400" sheetId="262" r:id="rId45"/>
    <sheet name="PARTIDA 27206" sheetId="302" r:id="rId46"/>
    <sheet name="2910100" sheetId="233" r:id="rId47"/>
    <sheet name="29107" sheetId="266" r:id="rId48"/>
    <sheet name="2920200" sheetId="232" r:id="rId49"/>
    <sheet name="2940300" sheetId="252" r:id="rId50"/>
    <sheet name="2960100" sheetId="228" r:id="rId51"/>
    <sheet name="2960200" sheetId="219" r:id="rId52"/>
    <sheet name="2960300" sheetId="234" r:id="rId53"/>
    <sheet name="2960700" sheetId="246" r:id="rId54"/>
    <sheet name="2960900" sheetId="235" r:id="rId55"/>
    <sheet name="2990100" sheetId="237" r:id="rId56"/>
    <sheet name="2990200" sheetId="238" r:id="rId57"/>
    <sheet name="PARTIDA 31101" sheetId="272" r:id="rId58"/>
    <sheet name="3130100" sheetId="215" r:id="rId59"/>
    <sheet name="3170100" sheetId="226" r:id="rId60"/>
    <sheet name="3180100" sheetId="242" r:id="rId61"/>
    <sheet name="3190200" sheetId="240" r:id="rId62"/>
    <sheet name="PARTIDA 32201" sheetId="273" r:id="rId63"/>
    <sheet name="PARTIDA 32302" sheetId="274" r:id="rId64"/>
    <sheet name="3220100" sheetId="288" r:id="rId65"/>
    <sheet name="3230100" sheetId="222" r:id="rId66"/>
    <sheet name="3260100" sheetId="249" r:id="rId67"/>
    <sheet name="3310200" sheetId="248" r:id="rId68"/>
    <sheet name="33102" sheetId="279" r:id="rId69"/>
    <sheet name="33401" sheetId="285" r:id="rId70"/>
    <sheet name="3600" sheetId="287" r:id="rId71"/>
    <sheet name="3360200" sheetId="310" r:id="rId72"/>
    <sheet name="PARTIDA 33604" sheetId="303" r:id="rId73"/>
    <sheet name="33901" sheetId="280" r:id="rId74"/>
    <sheet name="33902" sheetId="286" r:id="rId75"/>
    <sheet name="34101" sheetId="281" r:id="rId76"/>
    <sheet name="34501" sheetId="312" r:id="rId77"/>
    <sheet name="3470100" sheetId="229" r:id="rId78"/>
    <sheet name="3510100" sheetId="245" r:id="rId79"/>
    <sheet name="3510200" sheetId="239" r:id="rId80"/>
    <sheet name="3520100" sheetId="244" r:id="rId81"/>
    <sheet name="3530100" sheetId="255" r:id="rId82"/>
    <sheet name="PARTIDA 35401" sheetId="304" r:id="rId83"/>
    <sheet name="3550100" sheetId="220" r:id="rId84"/>
    <sheet name="3570100" sheetId="230" r:id="rId85"/>
    <sheet name="3610100" sheetId="263" r:id="rId86"/>
    <sheet name="3710100" sheetId="217" r:id="rId87"/>
    <sheet name="3720100" sheetId="218" r:id="rId88"/>
    <sheet name="3740100" sheetId="253" r:id="rId89"/>
    <sheet name="37501" sheetId="282" r:id="rId90"/>
    <sheet name="3790100" sheetId="227" r:id="rId91"/>
    <sheet name="3820100" sheetId="221" r:id="rId92"/>
    <sheet name="3830100" sheetId="311" r:id="rId93"/>
    <sheet name="PARTIDA 39202" sheetId="305" r:id="rId94"/>
    <sheet name="PARTIDA 41901" sheetId="306" r:id="rId95"/>
    <sheet name="43101" sheetId="283" r:id="rId96"/>
    <sheet name="PARTIDA 51107" sheetId="275" r:id="rId97"/>
    <sheet name="5150300" sheetId="264" r:id="rId98"/>
    <sheet name="54101" sheetId="267" r:id="rId99"/>
    <sheet name="54901" sheetId="268" r:id="rId100"/>
    <sheet name="56502" sheetId="269" r:id="rId101"/>
  </sheets>
  <definedNames>
    <definedName name="mp" localSheetId="3" hidden="1">{#N/A,#N/A,FALSE,"PEDIDO";#N/A,#N/A,FALSE,"PEDIDO"}</definedName>
    <definedName name="mp" localSheetId="4" hidden="1">{#N/A,#N/A,FALSE,"PEDIDO";#N/A,#N/A,FALSE,"PEDIDO"}</definedName>
    <definedName name="mp" localSheetId="5" hidden="1">{#N/A,#N/A,FALSE,"PEDIDO";#N/A,#N/A,FALSE,"PEDIDO"}</definedName>
    <definedName name="mp" localSheetId="8" hidden="1">{#N/A,#N/A,FALSE,"PEDIDO";#N/A,#N/A,FALSE,"PEDIDO"}</definedName>
    <definedName name="mp" localSheetId="32" hidden="1">{#N/A,#N/A,FALSE,"PEDIDO";#N/A,#N/A,FALSE,"PEDIDO"}</definedName>
    <definedName name="mp" localSheetId="36" hidden="1">{#N/A,#N/A,FALSE,"PEDIDO";#N/A,#N/A,FALSE,"PEDIDO"}</definedName>
    <definedName name="mp" localSheetId="40" hidden="1">{#N/A,#N/A,FALSE,"PEDIDO";#N/A,#N/A,FALSE,"PEDIDO"}</definedName>
    <definedName name="mp" localSheetId="47" hidden="1">{#N/A,#N/A,FALSE,"PEDIDO";#N/A,#N/A,FALSE,"PEDIDO"}</definedName>
    <definedName name="mp" localSheetId="64" hidden="1">{#N/A,#N/A,FALSE,"PEDIDO";#N/A,#N/A,FALSE,"PEDIDO"}</definedName>
    <definedName name="mp" localSheetId="68" hidden="1">{#N/A,#N/A,FALSE,"PEDIDO";#N/A,#N/A,FALSE,"PEDIDO"}</definedName>
    <definedName name="mp" localSheetId="69" hidden="1">{#N/A,#N/A,FALSE,"PEDIDO";#N/A,#N/A,FALSE,"PEDIDO"}</definedName>
    <definedName name="mp" localSheetId="71" hidden="1">{#N/A,#N/A,FALSE,"PEDIDO";#N/A,#N/A,FALSE,"PEDIDO"}</definedName>
    <definedName name="mp" localSheetId="73" hidden="1">{#N/A,#N/A,FALSE,"PEDIDO";#N/A,#N/A,FALSE,"PEDIDO"}</definedName>
    <definedName name="mp" localSheetId="74" hidden="1">{#N/A,#N/A,FALSE,"PEDIDO";#N/A,#N/A,FALSE,"PEDIDO"}</definedName>
    <definedName name="mp" localSheetId="75" hidden="1">{#N/A,#N/A,FALSE,"PEDIDO";#N/A,#N/A,FALSE,"PEDIDO"}</definedName>
    <definedName name="mp" localSheetId="76" hidden="1">{#N/A,#N/A,FALSE,"PEDIDO";#N/A,#N/A,FALSE,"PEDIDO"}</definedName>
    <definedName name="mp" localSheetId="70" hidden="1">{#N/A,#N/A,FALSE,"PEDIDO";#N/A,#N/A,FALSE,"PEDIDO"}</definedName>
    <definedName name="mp" localSheetId="89" hidden="1">{#N/A,#N/A,FALSE,"PEDIDO";#N/A,#N/A,FALSE,"PEDIDO"}</definedName>
    <definedName name="mp" localSheetId="92" hidden="1">{#N/A,#N/A,FALSE,"PEDIDO";#N/A,#N/A,FALSE,"PEDIDO"}</definedName>
    <definedName name="mp" localSheetId="95" hidden="1">{#N/A,#N/A,FALSE,"PEDIDO";#N/A,#N/A,FALSE,"PEDIDO"}</definedName>
    <definedName name="mp" localSheetId="98" hidden="1">{#N/A,#N/A,FALSE,"PEDIDO";#N/A,#N/A,FALSE,"PEDIDO"}</definedName>
    <definedName name="mp" localSheetId="99" hidden="1">{#N/A,#N/A,FALSE,"PEDIDO";#N/A,#N/A,FALSE,"PEDIDO"}</definedName>
    <definedName name="mp" localSheetId="100" hidden="1">{#N/A,#N/A,FALSE,"PEDIDO";#N/A,#N/A,FALSE,"PEDIDO"}</definedName>
    <definedName name="mp" localSheetId="11" hidden="1">{#N/A,#N/A,FALSE,"PEDIDO";#N/A,#N/A,FALSE,"PEDIDO"}</definedName>
    <definedName name="mp" localSheetId="13" hidden="1">{#N/A,#N/A,FALSE,"PEDIDO";#N/A,#N/A,FALSE,"PEDIDO"}</definedName>
    <definedName name="mp" localSheetId="14" hidden="1">{#N/A,#N/A,FALSE,"PEDIDO";#N/A,#N/A,FALSE,"PEDIDO"}</definedName>
    <definedName name="mp" localSheetId="16" hidden="1">{#N/A,#N/A,FALSE,"PEDIDO";#N/A,#N/A,FALSE,"PEDIDO"}</definedName>
    <definedName name="mp" localSheetId="17" hidden="1">{#N/A,#N/A,FALSE,"PEDIDO";#N/A,#N/A,FALSE,"PEDIDO"}</definedName>
    <definedName name="mp" localSheetId="18" hidden="1">{#N/A,#N/A,FALSE,"PEDIDO";#N/A,#N/A,FALSE,"PEDIDO"}</definedName>
    <definedName name="mp" localSheetId="22" hidden="1">{#N/A,#N/A,FALSE,"PEDIDO";#N/A,#N/A,FALSE,"PEDIDO"}</definedName>
    <definedName name="mp" localSheetId="23" hidden="1">{#N/A,#N/A,FALSE,"PEDIDO";#N/A,#N/A,FALSE,"PEDIDO"}</definedName>
    <definedName name="mp" localSheetId="25" hidden="1">{#N/A,#N/A,FALSE,"PEDIDO";#N/A,#N/A,FALSE,"PEDIDO"}</definedName>
    <definedName name="mp" localSheetId="26" hidden="1">{#N/A,#N/A,FALSE,"PEDIDO";#N/A,#N/A,FALSE,"PEDIDO"}</definedName>
    <definedName name="mp" localSheetId="29" hidden="1">{#N/A,#N/A,FALSE,"PEDIDO";#N/A,#N/A,FALSE,"PEDIDO"}</definedName>
    <definedName name="mp" localSheetId="35" hidden="1">{#N/A,#N/A,FALSE,"PEDIDO";#N/A,#N/A,FALSE,"PEDIDO"}</definedName>
    <definedName name="mp" localSheetId="37" hidden="1">{#N/A,#N/A,FALSE,"PEDIDO";#N/A,#N/A,FALSE,"PEDIDO"}</definedName>
    <definedName name="mp" localSheetId="38" hidden="1">{#N/A,#N/A,FALSE,"PEDIDO";#N/A,#N/A,FALSE,"PEDIDO"}</definedName>
    <definedName name="mp" localSheetId="39" hidden="1">{#N/A,#N/A,FALSE,"PEDIDO";#N/A,#N/A,FALSE,"PEDIDO"}</definedName>
    <definedName name="mp" localSheetId="45" hidden="1">{#N/A,#N/A,FALSE,"PEDIDO";#N/A,#N/A,FALSE,"PEDIDO"}</definedName>
    <definedName name="mp" localSheetId="57" hidden="1">{#N/A,#N/A,FALSE,"PEDIDO";#N/A,#N/A,FALSE,"PEDIDO"}</definedName>
    <definedName name="mp" localSheetId="62" hidden="1">{#N/A,#N/A,FALSE,"PEDIDO";#N/A,#N/A,FALSE,"PEDIDO"}</definedName>
    <definedName name="mp" localSheetId="63" hidden="1">{#N/A,#N/A,FALSE,"PEDIDO";#N/A,#N/A,FALSE,"PEDIDO"}</definedName>
    <definedName name="mp" localSheetId="72" hidden="1">{#N/A,#N/A,FALSE,"PEDIDO";#N/A,#N/A,FALSE,"PEDIDO"}</definedName>
    <definedName name="mp" localSheetId="82" hidden="1">{#N/A,#N/A,FALSE,"PEDIDO";#N/A,#N/A,FALSE,"PEDIDO"}</definedName>
    <definedName name="mp" localSheetId="93" hidden="1">{#N/A,#N/A,FALSE,"PEDIDO";#N/A,#N/A,FALSE,"PEDIDO"}</definedName>
    <definedName name="mp" localSheetId="94" hidden="1">{#N/A,#N/A,FALSE,"PEDIDO";#N/A,#N/A,FALSE,"PEDIDO"}</definedName>
    <definedName name="mp" localSheetId="96" hidden="1">{#N/A,#N/A,FALSE,"PEDIDO";#N/A,#N/A,FALSE,"PEDIDO"}</definedName>
    <definedName name="mp" hidden="1">{#N/A,#N/A,FALSE,"PEDIDO";#N/A,#N/A,FALSE,"PEDIDO"}</definedName>
    <definedName name="wrn.elenes." localSheetId="3" hidden="1">{#N/A,#N/A,FALSE,"PEDIDO";#N/A,#N/A,FALSE,"PEDIDO"}</definedName>
    <definedName name="wrn.elenes." localSheetId="4" hidden="1">{#N/A,#N/A,FALSE,"PEDIDO";#N/A,#N/A,FALSE,"PEDIDO"}</definedName>
    <definedName name="wrn.elenes." localSheetId="5" hidden="1">{#N/A,#N/A,FALSE,"PEDIDO";#N/A,#N/A,FALSE,"PEDIDO"}</definedName>
    <definedName name="wrn.elenes." localSheetId="8" hidden="1">{#N/A,#N/A,FALSE,"PEDIDO";#N/A,#N/A,FALSE,"PEDIDO"}</definedName>
    <definedName name="wrn.elenes." localSheetId="32" hidden="1">{#N/A,#N/A,FALSE,"PEDIDO";#N/A,#N/A,FALSE,"PEDIDO"}</definedName>
    <definedName name="wrn.elenes." localSheetId="36" hidden="1">{#N/A,#N/A,FALSE,"PEDIDO";#N/A,#N/A,FALSE,"PEDIDO"}</definedName>
    <definedName name="wrn.elenes." localSheetId="40" hidden="1">{#N/A,#N/A,FALSE,"PEDIDO";#N/A,#N/A,FALSE,"PEDIDO"}</definedName>
    <definedName name="wrn.elenes." localSheetId="47" hidden="1">{#N/A,#N/A,FALSE,"PEDIDO";#N/A,#N/A,FALSE,"PEDIDO"}</definedName>
    <definedName name="wrn.elenes." localSheetId="64" hidden="1">{#N/A,#N/A,FALSE,"PEDIDO";#N/A,#N/A,FALSE,"PEDIDO"}</definedName>
    <definedName name="wrn.elenes." localSheetId="68" hidden="1">{#N/A,#N/A,FALSE,"PEDIDO";#N/A,#N/A,FALSE,"PEDIDO"}</definedName>
    <definedName name="wrn.elenes." localSheetId="69" hidden="1">{#N/A,#N/A,FALSE,"PEDIDO";#N/A,#N/A,FALSE,"PEDIDO"}</definedName>
    <definedName name="wrn.elenes." localSheetId="71" hidden="1">{#N/A,#N/A,FALSE,"PEDIDO";#N/A,#N/A,FALSE,"PEDIDO"}</definedName>
    <definedName name="wrn.elenes." localSheetId="73" hidden="1">{#N/A,#N/A,FALSE,"PEDIDO";#N/A,#N/A,FALSE,"PEDIDO"}</definedName>
    <definedName name="wrn.elenes." localSheetId="74" hidden="1">{#N/A,#N/A,FALSE,"PEDIDO";#N/A,#N/A,FALSE,"PEDIDO"}</definedName>
    <definedName name="wrn.elenes." localSheetId="75" hidden="1">{#N/A,#N/A,FALSE,"PEDIDO";#N/A,#N/A,FALSE,"PEDIDO"}</definedName>
    <definedName name="wrn.elenes." localSheetId="76" hidden="1">{#N/A,#N/A,FALSE,"PEDIDO";#N/A,#N/A,FALSE,"PEDIDO"}</definedName>
    <definedName name="wrn.elenes." localSheetId="70" hidden="1">{#N/A,#N/A,FALSE,"PEDIDO";#N/A,#N/A,FALSE,"PEDIDO"}</definedName>
    <definedName name="wrn.elenes." localSheetId="89" hidden="1">{#N/A,#N/A,FALSE,"PEDIDO";#N/A,#N/A,FALSE,"PEDIDO"}</definedName>
    <definedName name="wrn.elenes." localSheetId="92" hidden="1">{#N/A,#N/A,FALSE,"PEDIDO";#N/A,#N/A,FALSE,"PEDIDO"}</definedName>
    <definedName name="wrn.elenes." localSheetId="95" hidden="1">{#N/A,#N/A,FALSE,"PEDIDO";#N/A,#N/A,FALSE,"PEDIDO"}</definedName>
    <definedName name="wrn.elenes." localSheetId="98" hidden="1">{#N/A,#N/A,FALSE,"PEDIDO";#N/A,#N/A,FALSE,"PEDIDO"}</definedName>
    <definedName name="wrn.elenes." localSheetId="99" hidden="1">{#N/A,#N/A,FALSE,"PEDIDO";#N/A,#N/A,FALSE,"PEDIDO"}</definedName>
    <definedName name="wrn.elenes." localSheetId="100" hidden="1">{#N/A,#N/A,FALSE,"PEDIDO";#N/A,#N/A,FALSE,"PEDIDO"}</definedName>
    <definedName name="wrn.elenes." localSheetId="11" hidden="1">{#N/A,#N/A,FALSE,"PEDIDO";#N/A,#N/A,FALSE,"PEDIDO"}</definedName>
    <definedName name="wrn.elenes." localSheetId="13" hidden="1">{#N/A,#N/A,FALSE,"PEDIDO";#N/A,#N/A,FALSE,"PEDIDO"}</definedName>
    <definedName name="wrn.elenes." localSheetId="14" hidden="1">{#N/A,#N/A,FALSE,"PEDIDO";#N/A,#N/A,FALSE,"PEDIDO"}</definedName>
    <definedName name="wrn.elenes." localSheetId="16" hidden="1">{#N/A,#N/A,FALSE,"PEDIDO";#N/A,#N/A,FALSE,"PEDIDO"}</definedName>
    <definedName name="wrn.elenes." localSheetId="17" hidden="1">{#N/A,#N/A,FALSE,"PEDIDO";#N/A,#N/A,FALSE,"PEDIDO"}</definedName>
    <definedName name="wrn.elenes." localSheetId="18" hidden="1">{#N/A,#N/A,FALSE,"PEDIDO";#N/A,#N/A,FALSE,"PEDIDO"}</definedName>
    <definedName name="wrn.elenes." localSheetId="22" hidden="1">{#N/A,#N/A,FALSE,"PEDIDO";#N/A,#N/A,FALSE,"PEDIDO"}</definedName>
    <definedName name="wrn.elenes." localSheetId="23" hidden="1">{#N/A,#N/A,FALSE,"PEDIDO";#N/A,#N/A,FALSE,"PEDIDO"}</definedName>
    <definedName name="wrn.elenes." localSheetId="25" hidden="1">{#N/A,#N/A,FALSE,"PEDIDO";#N/A,#N/A,FALSE,"PEDIDO"}</definedName>
    <definedName name="wrn.elenes." localSheetId="26" hidden="1">{#N/A,#N/A,FALSE,"PEDIDO";#N/A,#N/A,FALSE,"PEDIDO"}</definedName>
    <definedName name="wrn.elenes." localSheetId="29" hidden="1">{#N/A,#N/A,FALSE,"PEDIDO";#N/A,#N/A,FALSE,"PEDIDO"}</definedName>
    <definedName name="wrn.elenes." localSheetId="35" hidden="1">{#N/A,#N/A,FALSE,"PEDIDO";#N/A,#N/A,FALSE,"PEDIDO"}</definedName>
    <definedName name="wrn.elenes." localSheetId="37" hidden="1">{#N/A,#N/A,FALSE,"PEDIDO";#N/A,#N/A,FALSE,"PEDIDO"}</definedName>
    <definedName name="wrn.elenes." localSheetId="38" hidden="1">{#N/A,#N/A,FALSE,"PEDIDO";#N/A,#N/A,FALSE,"PEDIDO"}</definedName>
    <definedName name="wrn.elenes." localSheetId="39" hidden="1">{#N/A,#N/A,FALSE,"PEDIDO";#N/A,#N/A,FALSE,"PEDIDO"}</definedName>
    <definedName name="wrn.elenes." localSheetId="45" hidden="1">{#N/A,#N/A,FALSE,"PEDIDO";#N/A,#N/A,FALSE,"PEDIDO"}</definedName>
    <definedName name="wrn.elenes." localSheetId="57" hidden="1">{#N/A,#N/A,FALSE,"PEDIDO";#N/A,#N/A,FALSE,"PEDIDO"}</definedName>
    <definedName name="wrn.elenes." localSheetId="62" hidden="1">{#N/A,#N/A,FALSE,"PEDIDO";#N/A,#N/A,FALSE,"PEDIDO"}</definedName>
    <definedName name="wrn.elenes." localSheetId="63" hidden="1">{#N/A,#N/A,FALSE,"PEDIDO";#N/A,#N/A,FALSE,"PEDIDO"}</definedName>
    <definedName name="wrn.elenes." localSheetId="72" hidden="1">{#N/A,#N/A,FALSE,"PEDIDO";#N/A,#N/A,FALSE,"PEDIDO"}</definedName>
    <definedName name="wrn.elenes." localSheetId="82" hidden="1">{#N/A,#N/A,FALSE,"PEDIDO";#N/A,#N/A,FALSE,"PEDIDO"}</definedName>
    <definedName name="wrn.elenes." localSheetId="93" hidden="1">{#N/A,#N/A,FALSE,"PEDIDO";#N/A,#N/A,FALSE,"PEDIDO"}</definedName>
    <definedName name="wrn.elenes." localSheetId="94" hidden="1">{#N/A,#N/A,FALSE,"PEDIDO";#N/A,#N/A,FALSE,"PEDIDO"}</definedName>
    <definedName name="wrn.elenes." localSheetId="96" hidden="1">{#N/A,#N/A,FALSE,"PEDIDO";#N/A,#N/A,FALSE,"PEDIDO"}</definedName>
    <definedName name="wrn.elenes." hidden="1">{#N/A,#N/A,FALSE,"PEDIDO";#N/A,#N/A,FALSE,"PEDIDO"}</definedName>
  </definedNames>
  <calcPr calcId="152511"/>
</workbook>
</file>

<file path=xl/calcChain.xml><?xml version="1.0" encoding="utf-8"?>
<calcChain xmlns="http://schemas.openxmlformats.org/spreadsheetml/2006/main">
  <c r="R12" i="283" l="1"/>
  <c r="T12" i="283" s="1"/>
  <c r="R26" i="218"/>
  <c r="T26" i="218" s="1"/>
  <c r="R23" i="220"/>
  <c r="T23" i="220" s="1"/>
  <c r="R18" i="255"/>
  <c r="T18" i="255" s="1"/>
  <c r="R12" i="281"/>
  <c r="T12" i="281" s="1"/>
  <c r="R15" i="222"/>
  <c r="T15" i="222" s="1"/>
  <c r="R18" i="235"/>
  <c r="T18" i="235" s="1"/>
  <c r="R32" i="234"/>
  <c r="T32" i="234" s="1"/>
  <c r="R31" i="234"/>
  <c r="T31" i="234" s="1"/>
  <c r="R30" i="234"/>
  <c r="T30" i="234" s="1"/>
  <c r="R29" i="234"/>
  <c r="T29" i="234" s="1"/>
  <c r="R28" i="234"/>
  <c r="T28" i="234" s="1"/>
  <c r="R27" i="234"/>
  <c r="T27" i="234" s="1"/>
  <c r="R26" i="234"/>
  <c r="T26" i="234" s="1"/>
  <c r="R25" i="234"/>
  <c r="T25" i="234" s="1"/>
  <c r="R24" i="234"/>
  <c r="T24" i="234" s="1"/>
  <c r="T23" i="234"/>
  <c r="T22" i="234"/>
  <c r="T21" i="234"/>
  <c r="T34" i="219"/>
  <c r="T33" i="219"/>
  <c r="T32" i="219"/>
  <c r="T31" i="219"/>
  <c r="R41" i="228"/>
  <c r="T41" i="228" s="1"/>
  <c r="R40" i="228"/>
  <c r="T40" i="228" s="1"/>
  <c r="R39" i="228"/>
  <c r="T39" i="228" s="1"/>
  <c r="R38" i="228"/>
  <c r="T38" i="228" s="1"/>
  <c r="R37" i="228"/>
  <c r="T37" i="228" s="1"/>
  <c r="R36" i="228"/>
  <c r="T36" i="228" s="1"/>
  <c r="R35" i="228"/>
  <c r="T35" i="228" s="1"/>
  <c r="R34" i="228"/>
  <c r="T34" i="228" s="1"/>
  <c r="R33" i="228"/>
  <c r="T33" i="228" s="1"/>
  <c r="R32" i="228"/>
  <c r="T32" i="228" s="1"/>
  <c r="R25" i="252"/>
  <c r="T25" i="252"/>
  <c r="P11" i="225"/>
  <c r="M11" i="225"/>
  <c r="J11" i="225"/>
  <c r="G11" i="225"/>
  <c r="R20" i="260"/>
  <c r="T20" i="260" s="1"/>
  <c r="R19" i="260"/>
  <c r="T19" i="260" s="1"/>
  <c r="T18" i="260"/>
  <c r="R18" i="260"/>
  <c r="R17" i="260"/>
  <c r="T17" i="260" s="1"/>
  <c r="T39" i="216"/>
  <c r="T48" i="212"/>
  <c r="T47" i="212"/>
  <c r="T46" i="212"/>
  <c r="T45" i="212"/>
  <c r="R29" i="211"/>
  <c r="T29" i="211" s="1"/>
  <c r="R28" i="211"/>
  <c r="T28" i="211" s="1"/>
  <c r="R27" i="211"/>
  <c r="T27" i="211" s="1"/>
  <c r="R15" i="313"/>
  <c r="T15" i="313" s="1"/>
  <c r="R14" i="313"/>
  <c r="T14" i="313" s="1"/>
  <c r="R13" i="313"/>
  <c r="T13" i="313" s="1"/>
  <c r="R12" i="313"/>
  <c r="T12" i="313" s="1"/>
  <c r="R11" i="313"/>
  <c r="T11" i="313" s="1"/>
  <c r="P22" i="254"/>
  <c r="M22" i="254"/>
  <c r="G17" i="254"/>
  <c r="T55" i="254"/>
  <c r="T59" i="254"/>
  <c r="R49" i="254"/>
  <c r="T49" i="254" s="1"/>
  <c r="R50" i="254"/>
  <c r="T50" i="254" s="1"/>
  <c r="R51" i="254"/>
  <c r="T51" i="254" s="1"/>
  <c r="R52" i="254"/>
  <c r="T52" i="254" s="1"/>
  <c r="R53" i="254"/>
  <c r="T53" i="254" s="1"/>
  <c r="R54" i="254"/>
  <c r="T54" i="254" s="1"/>
  <c r="R55" i="254"/>
  <c r="R56" i="254"/>
  <c r="T56" i="254" s="1"/>
  <c r="R57" i="254"/>
  <c r="T57" i="254" s="1"/>
  <c r="R58" i="254"/>
  <c r="T58" i="254" s="1"/>
  <c r="R59" i="254"/>
  <c r="G18" i="210"/>
  <c r="R102" i="210"/>
  <c r="T102" i="210" s="1"/>
  <c r="R103" i="210"/>
  <c r="T103" i="210" s="1"/>
  <c r="R104" i="210"/>
  <c r="T104" i="210" s="1"/>
  <c r="T105" i="210"/>
  <c r="J25" i="210"/>
  <c r="G24" i="210"/>
  <c r="M89" i="210"/>
  <c r="R89" i="210" s="1"/>
  <c r="T89" i="210" s="1"/>
  <c r="R98" i="210"/>
  <c r="T98" i="210" s="1"/>
  <c r="R99" i="210"/>
  <c r="T99" i="210" s="1"/>
  <c r="R100" i="210"/>
  <c r="T100" i="210" s="1"/>
  <c r="R101" i="210"/>
  <c r="T101" i="210" s="1"/>
  <c r="R97" i="210"/>
  <c r="T97" i="210" s="1"/>
  <c r="P50" i="210"/>
  <c r="M50" i="210"/>
  <c r="J50" i="210"/>
  <c r="G50" i="210"/>
  <c r="P46" i="210"/>
  <c r="M46" i="210"/>
  <c r="J46" i="210"/>
  <c r="G46" i="210"/>
  <c r="P12" i="210"/>
  <c r="M12" i="210"/>
  <c r="G12" i="210"/>
  <c r="P11" i="210"/>
  <c r="M11" i="210"/>
  <c r="J11" i="210"/>
  <c r="T49" i="313" l="1"/>
  <c r="T50" i="313" l="1"/>
  <c r="T51" i="313" s="1"/>
  <c r="R11" i="312" l="1"/>
  <c r="T11" i="312" s="1"/>
  <c r="T48" i="312" s="1"/>
  <c r="R12" i="311"/>
  <c r="T12" i="311" s="1"/>
  <c r="T11" i="311" l="1"/>
  <c r="R11" i="311"/>
  <c r="R25" i="263"/>
  <c r="T25" i="263" s="1"/>
  <c r="R24" i="263"/>
  <c r="T24" i="263" s="1"/>
  <c r="R23" i="263"/>
  <c r="T23" i="263" s="1"/>
  <c r="R22" i="263"/>
  <c r="T22" i="263" s="1"/>
  <c r="R14" i="230"/>
  <c r="T14" i="230" s="1"/>
  <c r="R12" i="245"/>
  <c r="T12" i="245" s="1"/>
  <c r="R12" i="310"/>
  <c r="T12" i="310" s="1"/>
  <c r="T14" i="310" s="1"/>
  <c r="R11" i="310"/>
  <c r="R12" i="285"/>
  <c r="T12" i="285" s="1"/>
  <c r="R12" i="249"/>
  <c r="T12" i="249" s="1"/>
  <c r="R22" i="247"/>
  <c r="T22" i="247" s="1"/>
  <c r="R21" i="247"/>
  <c r="T21" i="247" s="1"/>
  <c r="R20" i="247"/>
  <c r="T20" i="247" s="1"/>
  <c r="R19" i="247"/>
  <c r="T19" i="247" s="1"/>
  <c r="Q11" i="225"/>
  <c r="O11" i="225"/>
  <c r="N11" i="225"/>
  <c r="L11" i="225"/>
  <c r="K11" i="225"/>
  <c r="I11" i="225"/>
  <c r="H11" i="225"/>
  <c r="F11" i="225"/>
  <c r="R12" i="294"/>
  <c r="T12" i="294" s="1"/>
  <c r="R26" i="211"/>
  <c r="T26" i="211" s="1"/>
  <c r="R11" i="308"/>
  <c r="T11" i="308" s="1"/>
  <c r="R11" i="307"/>
  <c r="T11" i="307" s="1"/>
  <c r="T13" i="307" s="1"/>
  <c r="R48" i="254"/>
  <c r="T48" i="254" s="1"/>
  <c r="R47" i="254"/>
  <c r="T47" i="254" s="1"/>
  <c r="R46" i="254"/>
  <c r="T46" i="254" s="1"/>
  <c r="R45" i="254"/>
  <c r="T45" i="254" s="1"/>
  <c r="R44" i="254"/>
  <c r="T44" i="254" s="1"/>
  <c r="R43" i="254"/>
  <c r="T43" i="254" s="1"/>
  <c r="R42" i="254"/>
  <c r="T42" i="254" s="1"/>
  <c r="R41" i="254"/>
  <c r="T41" i="254" s="1"/>
  <c r="R40" i="254"/>
  <c r="T40" i="254" s="1"/>
  <c r="R39" i="254"/>
  <c r="T39" i="254" s="1"/>
  <c r="R38" i="254"/>
  <c r="T38" i="254" s="1"/>
  <c r="T13" i="311" l="1"/>
  <c r="T12" i="308"/>
  <c r="T13" i="308" s="1"/>
  <c r="R11" i="306" l="1"/>
  <c r="T11" i="306" s="1"/>
  <c r="R11" i="305"/>
  <c r="T11" i="305" s="1"/>
  <c r="T14" i="304"/>
  <c r="R14" i="304"/>
  <c r="R13" i="304"/>
  <c r="T13" i="304" s="1"/>
  <c r="T12" i="304"/>
  <c r="R12" i="304"/>
  <c r="R11" i="304"/>
  <c r="T11" i="304" s="1"/>
  <c r="R13" i="229"/>
  <c r="T13" i="229" s="1"/>
  <c r="T11" i="303"/>
  <c r="R11" i="303"/>
  <c r="R12" i="248"/>
  <c r="T12" i="248" s="1"/>
  <c r="R14" i="222"/>
  <c r="T14" i="222" s="1"/>
  <c r="T17" i="235"/>
  <c r="R17" i="235"/>
  <c r="R16" i="235"/>
  <c r="T16" i="235" s="1"/>
  <c r="R31" i="228"/>
  <c r="T31" i="228" s="1"/>
  <c r="R30" i="228"/>
  <c r="T30" i="228" s="1"/>
  <c r="R29" i="228"/>
  <c r="T29" i="228" s="1"/>
  <c r="R28" i="228"/>
  <c r="T28" i="228" s="1"/>
  <c r="R27" i="228"/>
  <c r="T27" i="228" s="1"/>
  <c r="R26" i="228"/>
  <c r="T26" i="228" s="1"/>
  <c r="R25" i="228"/>
  <c r="T25" i="228" s="1"/>
  <c r="R24" i="228"/>
  <c r="T24" i="228" s="1"/>
  <c r="R23" i="228"/>
  <c r="T23" i="228" s="1"/>
  <c r="R22" i="228"/>
  <c r="T22" i="228" s="1"/>
  <c r="R28" i="233"/>
  <c r="T28" i="233" s="1"/>
  <c r="R27" i="233"/>
  <c r="T27" i="233" s="1"/>
  <c r="R26" i="233"/>
  <c r="T26" i="233" s="1"/>
  <c r="R25" i="233"/>
  <c r="T25" i="233" s="1"/>
  <c r="R24" i="233"/>
  <c r="T24" i="233" s="1"/>
  <c r="R23" i="233"/>
  <c r="T23" i="233" s="1"/>
  <c r="R22" i="233"/>
  <c r="T22" i="233" s="1"/>
  <c r="R21" i="233"/>
  <c r="T21" i="233" s="1"/>
  <c r="R20" i="233"/>
  <c r="T20" i="233" s="1"/>
  <c r="R19" i="233"/>
  <c r="T19" i="233" s="1"/>
  <c r="R18" i="233"/>
  <c r="T18" i="233" s="1"/>
  <c r="R13" i="302"/>
  <c r="T13" i="302" s="1"/>
  <c r="T12" i="302"/>
  <c r="R12" i="302"/>
  <c r="R11" i="302"/>
  <c r="T11" i="302" s="1"/>
  <c r="T19" i="301"/>
  <c r="R19" i="301"/>
  <c r="R18" i="301"/>
  <c r="T18" i="301" s="1"/>
  <c r="T17" i="301"/>
  <c r="R17" i="301"/>
  <c r="R16" i="301"/>
  <c r="T16" i="301" s="1"/>
  <c r="T15" i="301"/>
  <c r="R15" i="301"/>
  <c r="R14" i="301"/>
  <c r="T14" i="301" s="1"/>
  <c r="T13" i="301"/>
  <c r="R13" i="301"/>
  <c r="R12" i="301"/>
  <c r="T12" i="301" s="1"/>
  <c r="T11" i="301"/>
  <c r="R11" i="301"/>
  <c r="R15" i="300"/>
  <c r="T15" i="300" s="1"/>
  <c r="R14" i="300"/>
  <c r="T14" i="300" s="1"/>
  <c r="R13" i="300"/>
  <c r="T13" i="300" s="1"/>
  <c r="R12" i="300"/>
  <c r="T12" i="300" s="1"/>
  <c r="R11" i="300"/>
  <c r="T11" i="300" s="1"/>
  <c r="R13" i="299"/>
  <c r="T13" i="299" s="1"/>
  <c r="R12" i="299"/>
  <c r="T12" i="299" s="1"/>
  <c r="R11" i="299"/>
  <c r="T11" i="299" s="1"/>
  <c r="R17" i="276"/>
  <c r="T17" i="276" s="1"/>
  <c r="R16" i="276"/>
  <c r="T16" i="276" s="1"/>
  <c r="R15" i="276"/>
  <c r="T15" i="276" s="1"/>
  <c r="R14" i="276"/>
  <c r="T14" i="276" s="1"/>
  <c r="R13" i="276"/>
  <c r="T13" i="276" s="1"/>
  <c r="R19" i="250"/>
  <c r="T19" i="250" s="1"/>
  <c r="R18" i="250"/>
  <c r="T18" i="250" s="1"/>
  <c r="R17" i="250"/>
  <c r="T17" i="250" s="1"/>
  <c r="R16" i="250"/>
  <c r="T16" i="250" s="1"/>
  <c r="R15" i="250"/>
  <c r="T15" i="250" s="1"/>
  <c r="R14" i="250"/>
  <c r="T14" i="250" s="1"/>
  <c r="R13" i="250"/>
  <c r="T13" i="250" s="1"/>
  <c r="R19" i="251"/>
  <c r="T19" i="251" s="1"/>
  <c r="R18" i="251"/>
  <c r="T18" i="251" s="1"/>
  <c r="R17" i="251"/>
  <c r="T17" i="251" s="1"/>
  <c r="R16" i="251"/>
  <c r="T16" i="251" s="1"/>
  <c r="R15" i="251"/>
  <c r="T15" i="251" s="1"/>
  <c r="R14" i="251"/>
  <c r="T14" i="251" s="1"/>
  <c r="R13" i="251"/>
  <c r="T13" i="251" s="1"/>
  <c r="R11" i="298"/>
  <c r="T11" i="298" s="1"/>
  <c r="R15" i="236"/>
  <c r="T15" i="236" s="1"/>
  <c r="R14" i="236"/>
  <c r="T14" i="236" s="1"/>
  <c r="R13" i="258"/>
  <c r="T13" i="258" s="1"/>
  <c r="R12" i="258"/>
  <c r="T12" i="258" s="1"/>
  <c r="R14" i="297"/>
  <c r="T14" i="297" s="1"/>
  <c r="R13" i="297"/>
  <c r="T13" i="297" s="1"/>
  <c r="R12" i="297"/>
  <c r="T12" i="297" s="1"/>
  <c r="R11" i="297"/>
  <c r="T11" i="297" s="1"/>
  <c r="R13" i="296"/>
  <c r="T13" i="296" s="1"/>
  <c r="T12" i="296"/>
  <c r="R12" i="296"/>
  <c r="R11" i="296"/>
  <c r="T11" i="296" s="1"/>
  <c r="R19" i="223"/>
  <c r="T19" i="223" s="1"/>
  <c r="R18" i="223"/>
  <c r="T18" i="223" s="1"/>
  <c r="R17" i="223"/>
  <c r="T17" i="223" s="1"/>
  <c r="R16" i="223"/>
  <c r="T16" i="223" s="1"/>
  <c r="R15" i="223"/>
  <c r="T15" i="223" s="1"/>
  <c r="R14" i="223"/>
  <c r="T14" i="223" s="1"/>
  <c r="R13" i="223"/>
  <c r="T13" i="223" s="1"/>
  <c r="R11" i="295"/>
  <c r="T11" i="295" s="1"/>
  <c r="R11" i="294"/>
  <c r="T11" i="294" s="1"/>
  <c r="R14" i="293"/>
  <c r="T14" i="293" s="1"/>
  <c r="T13" i="293"/>
  <c r="R13" i="293"/>
  <c r="R12" i="293"/>
  <c r="T12" i="293" s="1"/>
  <c r="T11" i="293"/>
  <c r="R11" i="293"/>
  <c r="R12" i="292"/>
  <c r="T12" i="292" s="1"/>
  <c r="T11" i="292"/>
  <c r="R11" i="292"/>
  <c r="R17" i="224"/>
  <c r="T17" i="224" s="1"/>
  <c r="R16" i="224"/>
  <c r="T16" i="224" s="1"/>
  <c r="R15" i="224"/>
  <c r="T15" i="224" s="1"/>
  <c r="T12" i="291"/>
  <c r="R12" i="291"/>
  <c r="R11" i="291"/>
  <c r="T11" i="291" s="1"/>
  <c r="R13" i="290"/>
  <c r="T13" i="290" s="1"/>
  <c r="R12" i="290"/>
  <c r="T12" i="290" s="1"/>
  <c r="R11" i="290"/>
  <c r="T11" i="290" s="1"/>
  <c r="R38" i="216"/>
  <c r="T38" i="216" s="1"/>
  <c r="R37" i="216"/>
  <c r="T37" i="216" s="1"/>
  <c r="R36" i="216"/>
  <c r="T36" i="216" s="1"/>
  <c r="R35" i="216"/>
  <c r="T35" i="216" s="1"/>
  <c r="R34" i="216"/>
  <c r="T34" i="216" s="1"/>
  <c r="R33" i="216"/>
  <c r="T33" i="216" s="1"/>
  <c r="R32" i="216"/>
  <c r="T32" i="216" s="1"/>
  <c r="R14" i="289"/>
  <c r="T14" i="289" s="1"/>
  <c r="T13" i="289"/>
  <c r="R13" i="289"/>
  <c r="R12" i="289"/>
  <c r="T12" i="289" s="1"/>
  <c r="T11" i="289"/>
  <c r="R11" i="289"/>
  <c r="T46" i="296" l="1"/>
  <c r="T47" i="296" s="1"/>
  <c r="T45" i="292"/>
  <c r="T46" i="306"/>
  <c r="T47" i="306" s="1"/>
  <c r="T46" i="305"/>
  <c r="T47" i="305" s="1"/>
  <c r="T47" i="304"/>
  <c r="T46" i="304"/>
  <c r="T46" i="303"/>
  <c r="T47" i="303" s="1"/>
  <c r="T46" i="302"/>
  <c r="T47" i="302" s="1"/>
  <c r="T46" i="301"/>
  <c r="T47" i="301" s="1"/>
  <c r="T46" i="300"/>
  <c r="T47" i="300" s="1"/>
  <c r="T47" i="299"/>
  <c r="T46" i="299"/>
  <c r="T46" i="298"/>
  <c r="T47" i="298" s="1"/>
  <c r="T46" i="297"/>
  <c r="T47" i="297" s="1"/>
  <c r="T46" i="295"/>
  <c r="T47" i="295" s="1"/>
  <c r="T46" i="294"/>
  <c r="T47" i="294" s="1"/>
  <c r="T46" i="293"/>
  <c r="T47" i="293" s="1"/>
  <c r="T46" i="292"/>
  <c r="T46" i="291"/>
  <c r="T47" i="291" s="1"/>
  <c r="T46" i="290"/>
  <c r="T47" i="290" s="1"/>
  <c r="T47" i="289"/>
  <c r="T46" i="289"/>
  <c r="T31" i="288"/>
  <c r="T30" i="288"/>
  <c r="T29" i="288"/>
  <c r="T28" i="288"/>
  <c r="T27" i="288"/>
  <c r="T26" i="288"/>
  <c r="T25" i="288"/>
  <c r="T24" i="288"/>
  <c r="T23" i="288"/>
  <c r="T22" i="288"/>
  <c r="T21" i="288"/>
  <c r="T20" i="288"/>
  <c r="T19" i="288"/>
  <c r="T18" i="288"/>
  <c r="T17" i="288"/>
  <c r="R16" i="288"/>
  <c r="S16" i="288" s="1"/>
  <c r="T15" i="288"/>
  <c r="R15" i="288"/>
  <c r="R14" i="288"/>
  <c r="T14" i="288" s="1"/>
  <c r="T13" i="288"/>
  <c r="R13" i="288"/>
  <c r="T12" i="288"/>
  <c r="R12" i="288"/>
  <c r="R11" i="288"/>
  <c r="T34" i="288" l="1"/>
  <c r="T35" i="288" s="1"/>
  <c r="T15" i="287" l="1"/>
  <c r="R15" i="287"/>
  <c r="R14" i="287"/>
  <c r="T14" i="287" s="1"/>
  <c r="R13" i="287"/>
  <c r="T13" i="287" s="1"/>
  <c r="R12" i="287"/>
  <c r="T12" i="287" s="1"/>
  <c r="R11" i="287"/>
  <c r="T11" i="287" s="1"/>
  <c r="R15" i="286"/>
  <c r="T15" i="286" s="1"/>
  <c r="R14" i="286"/>
  <c r="T14" i="286" s="1"/>
  <c r="R13" i="286"/>
  <c r="T13" i="286" s="1"/>
  <c r="R12" i="286"/>
  <c r="T12" i="286" s="1"/>
  <c r="R11" i="286"/>
  <c r="T11" i="286" s="1"/>
  <c r="R11" i="285"/>
  <c r="T11" i="285" s="1"/>
  <c r="T48" i="285" s="1"/>
  <c r="R12" i="250"/>
  <c r="T12" i="250" s="1"/>
  <c r="R13" i="236"/>
  <c r="T13" i="236" s="1"/>
  <c r="R11" i="284"/>
  <c r="T11" i="284" s="1"/>
  <c r="T29" i="284" s="1"/>
  <c r="R96" i="210"/>
  <c r="T96" i="210" s="1"/>
  <c r="R95" i="210"/>
  <c r="T95" i="210" s="1"/>
  <c r="R94" i="210"/>
  <c r="T94" i="210" s="1"/>
  <c r="R93" i="210"/>
  <c r="T93" i="210" s="1"/>
  <c r="S92" i="210"/>
  <c r="R92" i="210"/>
  <c r="T92" i="210" l="1"/>
  <c r="T48" i="287"/>
  <c r="T48" i="286"/>
  <c r="T48" i="283"/>
  <c r="T14" i="282"/>
  <c r="T13" i="282"/>
  <c r="T12" i="282"/>
  <c r="T11" i="282"/>
  <c r="T25" i="218"/>
  <c r="T16" i="217"/>
  <c r="T22" i="220"/>
  <c r="T15" i="255"/>
  <c r="T13" i="239"/>
  <c r="T11" i="281"/>
  <c r="T46" i="281" s="1"/>
  <c r="T46" i="280"/>
  <c r="T48" i="280" s="1"/>
  <c r="T11" i="279"/>
  <c r="T46" i="279" s="1"/>
  <c r="T48" i="279" s="1"/>
  <c r="T20" i="234"/>
  <c r="T19" i="234"/>
  <c r="T18" i="234"/>
  <c r="T17" i="234"/>
  <c r="T30" i="219"/>
  <c r="T29" i="219"/>
  <c r="T28" i="219"/>
  <c r="T27" i="219"/>
  <c r="T26" i="219"/>
  <c r="T25" i="219"/>
  <c r="T20" i="252"/>
  <c r="T19" i="252"/>
  <c r="T18" i="252"/>
  <c r="T21" i="228"/>
  <c r="T20" i="228"/>
  <c r="T19" i="228"/>
  <c r="T47" i="278"/>
  <c r="T48" i="278" s="1"/>
  <c r="T11" i="278"/>
  <c r="T16" i="260"/>
  <c r="T15" i="260"/>
  <c r="T14" i="260"/>
  <c r="T11" i="277"/>
  <c r="T46" i="277" s="1"/>
  <c r="T48" i="277" s="1"/>
  <c r="T12" i="276"/>
  <c r="T11" i="276"/>
  <c r="T23" i="211"/>
  <c r="T22" i="211"/>
  <c r="T21" i="211"/>
  <c r="T20" i="211"/>
  <c r="T19" i="211"/>
  <c r="T46" i="282" l="1"/>
  <c r="T47" i="282" s="1"/>
  <c r="T48" i="282" s="1"/>
  <c r="T46" i="276"/>
  <c r="T47" i="281"/>
  <c r="T48" i="281" s="1"/>
  <c r="T47" i="276"/>
  <c r="T48" i="276" s="1"/>
  <c r="T12" i="264" l="1"/>
  <c r="S11" i="275"/>
  <c r="T11" i="275" s="1"/>
  <c r="T46" i="275" s="1"/>
  <c r="T47" i="275" s="1"/>
  <c r="T48" i="275" s="1"/>
  <c r="T15" i="217"/>
  <c r="T21" i="263"/>
  <c r="T20" i="263"/>
  <c r="T21" i="220"/>
  <c r="T20" i="220"/>
  <c r="S11" i="274"/>
  <c r="T11" i="274" s="1"/>
  <c r="T46" i="274" s="1"/>
  <c r="T47" i="274" s="1"/>
  <c r="T48" i="274" s="1"/>
  <c r="S11" i="273"/>
  <c r="T11" i="273" s="1"/>
  <c r="T46" i="273" s="1"/>
  <c r="T47" i="273" s="1"/>
  <c r="T48" i="273" s="1"/>
  <c r="F11" i="273"/>
  <c r="S12" i="226"/>
  <c r="T12" i="226" s="1"/>
  <c r="F12" i="226"/>
  <c r="S11" i="272"/>
  <c r="T11" i="272" s="1"/>
  <c r="T46" i="272" s="1"/>
  <c r="T47" i="272" s="1"/>
  <c r="T48" i="272" s="1"/>
  <c r="R15" i="235"/>
  <c r="S15" i="235"/>
  <c r="T15" i="235" s="1"/>
  <c r="S17" i="252"/>
  <c r="T17" i="252" s="1"/>
  <c r="F17" i="252"/>
  <c r="T16" i="252"/>
  <c r="S16" i="252"/>
  <c r="F16" i="252"/>
  <c r="T15" i="252"/>
  <c r="F15" i="252"/>
  <c r="S11" i="271"/>
  <c r="T11" i="271" s="1"/>
  <c r="T46" i="271" s="1"/>
  <c r="T47" i="271" s="1"/>
  <c r="T48" i="271" s="1"/>
  <c r="F11" i="271"/>
  <c r="S11" i="270"/>
  <c r="T11" i="270" s="1"/>
  <c r="T46" i="270" s="1"/>
  <c r="T47" i="270" s="1"/>
  <c r="T48" i="270" s="1"/>
  <c r="F11" i="270"/>
  <c r="R18" i="211"/>
  <c r="T18" i="211" s="1"/>
  <c r="T11" i="269" l="1"/>
  <c r="T11" i="268"/>
  <c r="T47" i="268" s="1"/>
  <c r="T11" i="267"/>
  <c r="T47" i="267" s="1"/>
  <c r="R14" i="255"/>
  <c r="R24" i="219"/>
  <c r="T12" i="266"/>
  <c r="T11" i="266"/>
  <c r="R15" i="261"/>
  <c r="R13" i="260"/>
  <c r="T48" i="267" l="1"/>
  <c r="T47" i="269"/>
  <c r="T48" i="269" s="1"/>
  <c r="T48" i="268"/>
  <c r="T47" i="266"/>
  <c r="T48" i="266" s="1"/>
  <c r="T12" i="260" l="1"/>
  <c r="R12" i="260"/>
  <c r="R17" i="213"/>
  <c r="T17" i="213" s="1"/>
  <c r="R34" i="214"/>
  <c r="T34" i="214" s="1"/>
  <c r="R33" i="214"/>
  <c r="T33" i="214" s="1"/>
  <c r="R32" i="214"/>
  <c r="T32" i="214" s="1"/>
  <c r="R31" i="214"/>
  <c r="T31" i="214" s="1"/>
  <c r="R30" i="214"/>
  <c r="T30" i="214" s="1"/>
  <c r="R29" i="214"/>
  <c r="T29" i="214" s="1"/>
  <c r="R28" i="214"/>
  <c r="T28" i="214" s="1"/>
  <c r="R37" i="254"/>
  <c r="R36" i="254"/>
  <c r="R35" i="254"/>
  <c r="R34" i="254"/>
  <c r="R33" i="254"/>
  <c r="T15" i="264" l="1"/>
  <c r="T14" i="264"/>
  <c r="T13" i="264"/>
  <c r="R11" i="264"/>
  <c r="T11" i="264" s="1"/>
  <c r="R19" i="263"/>
  <c r="T19" i="263" s="1"/>
  <c r="R18" i="263"/>
  <c r="T18" i="263" s="1"/>
  <c r="R17" i="263"/>
  <c r="T17" i="263" s="1"/>
  <c r="R16" i="263"/>
  <c r="T16" i="263" s="1"/>
  <c r="R15" i="263"/>
  <c r="T15" i="263" s="1"/>
  <c r="R14" i="263"/>
  <c r="T14" i="263" s="1"/>
  <c r="R13" i="263"/>
  <c r="T13" i="263" s="1"/>
  <c r="R12" i="263"/>
  <c r="T12" i="263" s="1"/>
  <c r="T11" i="263"/>
  <c r="R11" i="263"/>
  <c r="R13" i="255"/>
  <c r="T13" i="255" s="1"/>
  <c r="R14" i="235"/>
  <c r="T14" i="235" s="1"/>
  <c r="R13" i="235"/>
  <c r="T13" i="235" s="1"/>
  <c r="R24" i="262"/>
  <c r="T24" i="262" s="1"/>
  <c r="R23" i="262"/>
  <c r="T23" i="262" s="1"/>
  <c r="R22" i="262"/>
  <c r="T22" i="262" s="1"/>
  <c r="R21" i="262"/>
  <c r="T21" i="262" s="1"/>
  <c r="R20" i="262"/>
  <c r="T20" i="262" s="1"/>
  <c r="R19" i="262"/>
  <c r="T19" i="262" s="1"/>
  <c r="R18" i="262"/>
  <c r="T18" i="262" s="1"/>
  <c r="R17" i="262"/>
  <c r="T17" i="262" s="1"/>
  <c r="R16" i="262"/>
  <c r="T16" i="262" s="1"/>
  <c r="T15" i="262"/>
  <c r="R14" i="262"/>
  <c r="T14" i="262" s="1"/>
  <c r="R13" i="262"/>
  <c r="T13" i="262" s="1"/>
  <c r="R12" i="262"/>
  <c r="T12" i="262" s="1"/>
  <c r="R11" i="262"/>
  <c r="T11" i="262" s="1"/>
  <c r="R24" i="261"/>
  <c r="T24" i="261" s="1"/>
  <c r="R23" i="261"/>
  <c r="T23" i="261" s="1"/>
  <c r="R22" i="261"/>
  <c r="T22" i="261" s="1"/>
  <c r="R21" i="261"/>
  <c r="T21" i="261" s="1"/>
  <c r="R20" i="261"/>
  <c r="T20" i="261" s="1"/>
  <c r="R19" i="261"/>
  <c r="T19" i="261" s="1"/>
  <c r="R18" i="261"/>
  <c r="T18" i="261" s="1"/>
  <c r="R17" i="261"/>
  <c r="T17" i="261" s="1"/>
  <c r="R16" i="261"/>
  <c r="T16" i="261" s="1"/>
  <c r="T15" i="261"/>
  <c r="R14" i="261"/>
  <c r="T14" i="261" s="1"/>
  <c r="R13" i="261"/>
  <c r="T13" i="261" s="1"/>
  <c r="R12" i="261"/>
  <c r="T12" i="261" s="1"/>
  <c r="R11" i="261"/>
  <c r="T11" i="261" s="1"/>
  <c r="T24" i="260"/>
  <c r="T23" i="260"/>
  <c r="T22" i="260"/>
  <c r="T21" i="260"/>
  <c r="T13" i="260"/>
  <c r="R11" i="260"/>
  <c r="T11" i="260" s="1"/>
  <c r="R24" i="259"/>
  <c r="T24" i="259" s="1"/>
  <c r="R23" i="259"/>
  <c r="T23" i="259" s="1"/>
  <c r="R22" i="259"/>
  <c r="T22" i="259" s="1"/>
  <c r="R21" i="259"/>
  <c r="T21" i="259" s="1"/>
  <c r="R20" i="259"/>
  <c r="T20" i="259" s="1"/>
  <c r="R19" i="259"/>
  <c r="T19" i="259" s="1"/>
  <c r="R18" i="259"/>
  <c r="T18" i="259" s="1"/>
  <c r="R17" i="259"/>
  <c r="T17" i="259" s="1"/>
  <c r="R16" i="259"/>
  <c r="T16" i="259" s="1"/>
  <c r="R15" i="259"/>
  <c r="T15" i="259" s="1"/>
  <c r="R14" i="259"/>
  <c r="T14" i="259" s="1"/>
  <c r="R13" i="259"/>
  <c r="T13" i="259" s="1"/>
  <c r="R12" i="259"/>
  <c r="T12" i="259" s="1"/>
  <c r="R11" i="259"/>
  <c r="T11" i="259" s="1"/>
  <c r="R24" i="258"/>
  <c r="T24" i="258" s="1"/>
  <c r="R23" i="258"/>
  <c r="T23" i="258" s="1"/>
  <c r="R22" i="258"/>
  <c r="T22" i="258" s="1"/>
  <c r="R21" i="258"/>
  <c r="T21" i="258" s="1"/>
  <c r="R20" i="258"/>
  <c r="T20" i="258" s="1"/>
  <c r="R19" i="258"/>
  <c r="T19" i="258" s="1"/>
  <c r="R18" i="258"/>
  <c r="T18" i="258" s="1"/>
  <c r="R17" i="258"/>
  <c r="T17" i="258" s="1"/>
  <c r="R16" i="258"/>
  <c r="T16" i="258" s="1"/>
  <c r="R15" i="258"/>
  <c r="T15" i="258" s="1"/>
  <c r="R14" i="258"/>
  <c r="T14" i="258" s="1"/>
  <c r="R11" i="258"/>
  <c r="T11" i="258" s="1"/>
  <c r="R11" i="257"/>
  <c r="T11" i="257" s="1"/>
  <c r="T15" i="256"/>
  <c r="R14" i="256"/>
  <c r="T14" i="256" s="1"/>
  <c r="R13" i="256"/>
  <c r="T13" i="256" s="1"/>
  <c r="R12" i="256"/>
  <c r="T12" i="256" s="1"/>
  <c r="R11" i="256"/>
  <c r="T11" i="256" s="1"/>
  <c r="R84" i="210"/>
  <c r="T84" i="210" s="1"/>
  <c r="R64" i="210"/>
  <c r="T64" i="210" s="1"/>
  <c r="R63" i="210"/>
  <c r="T63" i="210" s="1"/>
  <c r="R62" i="210"/>
  <c r="T62" i="210" s="1"/>
  <c r="R61" i="210"/>
  <c r="T61" i="210" s="1"/>
  <c r="R60" i="210"/>
  <c r="T60" i="210" s="1"/>
  <c r="R59" i="210"/>
  <c r="T59" i="210" s="1"/>
  <c r="R58" i="210"/>
  <c r="T58" i="210" s="1"/>
  <c r="R57" i="210"/>
  <c r="T57" i="210" s="1"/>
  <c r="R56" i="210"/>
  <c r="T56" i="210" s="1"/>
  <c r="R55" i="210"/>
  <c r="T55" i="210" s="1"/>
  <c r="R54" i="210"/>
  <c r="T54" i="210" s="1"/>
  <c r="R53" i="210"/>
  <c r="T53" i="210" s="1"/>
  <c r="R52" i="210"/>
  <c r="T52" i="210" s="1"/>
  <c r="T27" i="264" l="1"/>
  <c r="T28" i="264" s="1"/>
  <c r="T27" i="263"/>
  <c r="T28" i="263" s="1"/>
  <c r="T27" i="262"/>
  <c r="T28" i="262" s="1"/>
  <c r="T27" i="261"/>
  <c r="T28" i="261" s="1"/>
  <c r="T27" i="260"/>
  <c r="T28" i="260" s="1"/>
  <c r="T27" i="259"/>
  <c r="T28" i="259" s="1"/>
  <c r="T27" i="258"/>
  <c r="T28" i="258" s="1"/>
  <c r="T18" i="257"/>
  <c r="T19" i="257" s="1"/>
  <c r="T18" i="256"/>
  <c r="T19" i="256" s="1"/>
  <c r="T24" i="255"/>
  <c r="T23" i="255"/>
  <c r="T22" i="255"/>
  <c r="T21" i="255"/>
  <c r="T20" i="255"/>
  <c r="T19" i="255"/>
  <c r="T14" i="255"/>
  <c r="R12" i="255"/>
  <c r="T12" i="255" s="1"/>
  <c r="T11" i="255"/>
  <c r="R11" i="255"/>
  <c r="R16" i="234"/>
  <c r="T16" i="234" s="1"/>
  <c r="R15" i="234"/>
  <c r="T15" i="234" s="1"/>
  <c r="R14" i="234"/>
  <c r="R13" i="234"/>
  <c r="R12" i="234"/>
  <c r="T12" i="234" s="1"/>
  <c r="T14" i="234"/>
  <c r="T13" i="234"/>
  <c r="T37" i="254"/>
  <c r="T36" i="254"/>
  <c r="T35" i="254"/>
  <c r="T34" i="254"/>
  <c r="T33" i="254"/>
  <c r="R32" i="254"/>
  <c r="T32" i="254" s="1"/>
  <c r="R31" i="254"/>
  <c r="T31" i="254" s="1"/>
  <c r="R30" i="254"/>
  <c r="T30" i="254" s="1"/>
  <c r="R29" i="254"/>
  <c r="T29" i="254" s="1"/>
  <c r="R28" i="254"/>
  <c r="T28" i="254" s="1"/>
  <c r="R27" i="254"/>
  <c r="T27" i="254" s="1"/>
  <c r="R26" i="254"/>
  <c r="T26" i="254" s="1"/>
  <c r="R25" i="254"/>
  <c r="T25" i="254" s="1"/>
  <c r="R24" i="254"/>
  <c r="T24" i="254" s="1"/>
  <c r="G23" i="254"/>
  <c r="R23" i="254" s="1"/>
  <c r="T23" i="254" s="1"/>
  <c r="R22" i="254"/>
  <c r="T22" i="254" s="1"/>
  <c r="R21" i="254"/>
  <c r="T21" i="254" s="1"/>
  <c r="R20" i="254"/>
  <c r="T20" i="254" s="1"/>
  <c r="R19" i="254"/>
  <c r="T19" i="254" s="1"/>
  <c r="R18" i="254"/>
  <c r="T18" i="254" s="1"/>
  <c r="R17" i="254"/>
  <c r="T17" i="254" s="1"/>
  <c r="R16" i="254"/>
  <c r="T16" i="254" s="1"/>
  <c r="R15" i="254"/>
  <c r="T15" i="254" s="1"/>
  <c r="T14" i="254"/>
  <c r="R14" i="254"/>
  <c r="R13" i="254"/>
  <c r="T13" i="254" s="1"/>
  <c r="R12" i="254"/>
  <c r="T12" i="254" s="1"/>
  <c r="R11" i="254"/>
  <c r="T11" i="254" s="1"/>
  <c r="R51" i="210"/>
  <c r="T51" i="210" s="1"/>
  <c r="R50" i="210"/>
  <c r="T50" i="210" s="1"/>
  <c r="R49" i="210"/>
  <c r="T49" i="210" s="1"/>
  <c r="R48" i="210"/>
  <c r="T48" i="210" s="1"/>
  <c r="T27" i="255" l="1"/>
  <c r="T28" i="255" s="1"/>
  <c r="R47" i="210"/>
  <c r="T47" i="210" s="1"/>
  <c r="T12" i="216" l="1"/>
  <c r="S26" i="210"/>
  <c r="S24" i="210"/>
  <c r="S23" i="210"/>
  <c r="S11" i="216"/>
  <c r="T11" i="233"/>
  <c r="T13" i="222"/>
  <c r="T11" i="229"/>
  <c r="T11" i="245"/>
  <c r="T11" i="244"/>
  <c r="T11" i="230"/>
  <c r="S12" i="243" l="1"/>
  <c r="T11" i="253"/>
  <c r="T27" i="253" s="1"/>
  <c r="R11" i="253"/>
  <c r="L28" i="216"/>
  <c r="L21" i="216"/>
  <c r="T12" i="228"/>
  <c r="T12" i="239"/>
  <c r="R24" i="252"/>
  <c r="T24" i="252" s="1"/>
  <c r="R23" i="252"/>
  <c r="T23" i="252" s="1"/>
  <c r="R22" i="252"/>
  <c r="T22" i="252" s="1"/>
  <c r="R21" i="252"/>
  <c r="T21" i="252" s="1"/>
  <c r="R14" i="252"/>
  <c r="T14" i="252" s="1"/>
  <c r="R13" i="252"/>
  <c r="T13" i="252" s="1"/>
  <c r="R12" i="252"/>
  <c r="T12" i="252" s="1"/>
  <c r="R11" i="252"/>
  <c r="T12" i="222"/>
  <c r="R24" i="251"/>
  <c r="T24" i="251" s="1"/>
  <c r="T23" i="251"/>
  <c r="R23" i="251"/>
  <c r="R22" i="251"/>
  <c r="T22" i="251" s="1"/>
  <c r="T21" i="251"/>
  <c r="R21" i="251"/>
  <c r="R20" i="251"/>
  <c r="T20" i="251" s="1"/>
  <c r="T12" i="251"/>
  <c r="R12" i="251"/>
  <c r="R11" i="251"/>
  <c r="N31" i="216"/>
  <c r="T24" i="250"/>
  <c r="R24" i="250"/>
  <c r="R23" i="250"/>
  <c r="T23" i="250" s="1"/>
  <c r="T22" i="250"/>
  <c r="R22" i="250"/>
  <c r="R21" i="250"/>
  <c r="T21" i="250" s="1"/>
  <c r="T20" i="250"/>
  <c r="R20" i="250"/>
  <c r="R11" i="250"/>
  <c r="T11" i="250" s="1"/>
  <c r="T39" i="214"/>
  <c r="R26" i="214"/>
  <c r="T26" i="214" s="1"/>
  <c r="R27" i="214"/>
  <c r="T27" i="214" s="1"/>
  <c r="R39" i="214"/>
  <c r="T24" i="249"/>
  <c r="R24" i="249"/>
  <c r="R23" i="249"/>
  <c r="T23" i="249" s="1"/>
  <c r="T22" i="249"/>
  <c r="R22" i="249"/>
  <c r="R21" i="249"/>
  <c r="T21" i="249" s="1"/>
  <c r="T20" i="249"/>
  <c r="R20" i="249"/>
  <c r="R19" i="249"/>
  <c r="T19" i="249" s="1"/>
  <c r="T18" i="249"/>
  <c r="R18" i="249"/>
  <c r="R17" i="249"/>
  <c r="T17" i="249" s="1"/>
  <c r="T16" i="249"/>
  <c r="R16" i="249"/>
  <c r="R15" i="249"/>
  <c r="T15" i="249" s="1"/>
  <c r="T14" i="249"/>
  <c r="R14" i="249"/>
  <c r="R13" i="249"/>
  <c r="T13" i="249" s="1"/>
  <c r="R11" i="249"/>
  <c r="T11" i="249" s="1"/>
  <c r="R24" i="248"/>
  <c r="T24" i="248" s="1"/>
  <c r="T23" i="248"/>
  <c r="R23" i="248"/>
  <c r="R22" i="248"/>
  <c r="T22" i="248" s="1"/>
  <c r="T21" i="248"/>
  <c r="R21" i="248"/>
  <c r="R20" i="248"/>
  <c r="T20" i="248" s="1"/>
  <c r="T19" i="248"/>
  <c r="R19" i="248"/>
  <c r="R18" i="248"/>
  <c r="T18" i="248" s="1"/>
  <c r="T17" i="248"/>
  <c r="R17" i="248"/>
  <c r="R16" i="248"/>
  <c r="T16" i="248" s="1"/>
  <c r="T15" i="248"/>
  <c r="R15" i="248"/>
  <c r="R14" i="248"/>
  <c r="T14" i="248" s="1"/>
  <c r="T13" i="248"/>
  <c r="R13" i="248"/>
  <c r="R11" i="248"/>
  <c r="T11" i="248" s="1"/>
  <c r="T24" i="247"/>
  <c r="R24" i="247"/>
  <c r="R23" i="247"/>
  <c r="T23" i="247" s="1"/>
  <c r="R18" i="247"/>
  <c r="T18" i="247" s="1"/>
  <c r="R17" i="247"/>
  <c r="T17" i="247" s="1"/>
  <c r="R16" i="247"/>
  <c r="T16" i="247" s="1"/>
  <c r="R15" i="247"/>
  <c r="T15" i="247" s="1"/>
  <c r="R14" i="247"/>
  <c r="T14" i="247" s="1"/>
  <c r="R13" i="247"/>
  <c r="T13" i="247" s="1"/>
  <c r="R12" i="247"/>
  <c r="T12" i="247" s="1"/>
  <c r="R11" i="247"/>
  <c r="T11" i="247" s="1"/>
  <c r="R11" i="246"/>
  <c r="T11" i="246" s="1"/>
  <c r="T16" i="221"/>
  <c r="T16" i="216"/>
  <c r="S16" i="216" s="1"/>
  <c r="T12" i="229"/>
  <c r="T15" i="225"/>
  <c r="T12" i="219"/>
  <c r="T11" i="228"/>
  <c r="T16" i="225"/>
  <c r="T11" i="219"/>
  <c r="T14" i="219"/>
  <c r="N11" i="218"/>
  <c r="N14" i="225"/>
  <c r="T11" i="217"/>
  <c r="R24" i="245"/>
  <c r="T24" i="245" s="1"/>
  <c r="R23" i="245"/>
  <c r="T23" i="245" s="1"/>
  <c r="R22" i="245"/>
  <c r="T22" i="245" s="1"/>
  <c r="R21" i="245"/>
  <c r="T21" i="245" s="1"/>
  <c r="R20" i="245"/>
  <c r="T20" i="245" s="1"/>
  <c r="R19" i="245"/>
  <c r="T19" i="245" s="1"/>
  <c r="R18" i="245"/>
  <c r="T18" i="245" s="1"/>
  <c r="R17" i="245"/>
  <c r="T17" i="245" s="1"/>
  <c r="R16" i="245"/>
  <c r="T16" i="245" s="1"/>
  <c r="R15" i="245"/>
  <c r="T15" i="245" s="1"/>
  <c r="R14" i="245"/>
  <c r="T14" i="245" s="1"/>
  <c r="R13" i="245"/>
  <c r="T13" i="245" s="1"/>
  <c r="R11" i="245"/>
  <c r="R24" i="244"/>
  <c r="T24" i="244" s="1"/>
  <c r="T23" i="244"/>
  <c r="R23" i="244"/>
  <c r="R22" i="244"/>
  <c r="T22" i="244" s="1"/>
  <c r="T21" i="244"/>
  <c r="R21" i="244"/>
  <c r="R20" i="244"/>
  <c r="T20" i="244" s="1"/>
  <c r="T19" i="244"/>
  <c r="R19" i="244"/>
  <c r="R18" i="244"/>
  <c r="T18" i="244" s="1"/>
  <c r="T17" i="244"/>
  <c r="R17" i="244"/>
  <c r="R16" i="244"/>
  <c r="T16" i="244" s="1"/>
  <c r="T15" i="244"/>
  <c r="R15" i="244"/>
  <c r="R14" i="244"/>
  <c r="T14" i="244" s="1"/>
  <c r="T13" i="244"/>
  <c r="R13" i="244"/>
  <c r="R12" i="244"/>
  <c r="T12" i="244" s="1"/>
  <c r="R11" i="244"/>
  <c r="R24" i="243"/>
  <c r="T24" i="243" s="1"/>
  <c r="R23" i="243"/>
  <c r="T23" i="243" s="1"/>
  <c r="R22" i="243"/>
  <c r="T22" i="243" s="1"/>
  <c r="R21" i="243"/>
  <c r="T21" i="243" s="1"/>
  <c r="R20" i="243"/>
  <c r="T20" i="243" s="1"/>
  <c r="R19" i="243"/>
  <c r="T19" i="243" s="1"/>
  <c r="R18" i="243"/>
  <c r="T18" i="243" s="1"/>
  <c r="R17" i="243"/>
  <c r="T17" i="243" s="1"/>
  <c r="R16" i="243"/>
  <c r="T16" i="243" s="1"/>
  <c r="R15" i="243"/>
  <c r="T15" i="243" s="1"/>
  <c r="R14" i="243"/>
  <c r="T14" i="243" s="1"/>
  <c r="R13" i="243"/>
  <c r="T13" i="243" s="1"/>
  <c r="R12" i="243"/>
  <c r="R11" i="243"/>
  <c r="T11" i="243" s="1"/>
  <c r="T24" i="218"/>
  <c r="M14" i="225"/>
  <c r="M11" i="218"/>
  <c r="R11" i="242"/>
  <c r="T11" i="242" s="1"/>
  <c r="T27" i="243" l="1"/>
  <c r="T27" i="244"/>
  <c r="T27" i="245"/>
  <c r="T28" i="245" s="1"/>
  <c r="T27" i="248"/>
  <c r="T28" i="248"/>
  <c r="T28" i="244"/>
  <c r="T15" i="246"/>
  <c r="T14" i="246"/>
  <c r="T11" i="251"/>
  <c r="T28" i="251" s="1"/>
  <c r="T14" i="242"/>
  <c r="T15" i="242" s="1"/>
  <c r="T27" i="251"/>
  <c r="T27" i="252"/>
  <c r="T28" i="252" s="1"/>
  <c r="T27" i="250"/>
  <c r="T28" i="250" s="1"/>
  <c r="T27" i="247"/>
  <c r="T28" i="247" s="1"/>
  <c r="T27" i="249"/>
  <c r="T28" i="249" s="1"/>
  <c r="T28" i="253"/>
  <c r="T28" i="243"/>
  <c r="L25" i="216"/>
  <c r="K11" i="218"/>
  <c r="R25" i="241" l="1"/>
  <c r="T25" i="241" s="1"/>
  <c r="R24" i="241"/>
  <c r="T24" i="241" s="1"/>
  <c r="R23" i="241"/>
  <c r="T23" i="241" s="1"/>
  <c r="R22" i="241"/>
  <c r="T22" i="241" s="1"/>
  <c r="R21" i="241"/>
  <c r="T21" i="241" s="1"/>
  <c r="R20" i="241"/>
  <c r="T20" i="241" s="1"/>
  <c r="R19" i="241"/>
  <c r="T19" i="241" s="1"/>
  <c r="R18" i="241"/>
  <c r="T18" i="241" s="1"/>
  <c r="R17" i="241"/>
  <c r="T17" i="241" s="1"/>
  <c r="R16" i="241"/>
  <c r="T16" i="241" s="1"/>
  <c r="R15" i="241"/>
  <c r="T15" i="241" s="1"/>
  <c r="R14" i="241"/>
  <c r="T14" i="241" s="1"/>
  <c r="R13" i="241"/>
  <c r="T13" i="241" s="1"/>
  <c r="R12" i="241"/>
  <c r="T12" i="241" s="1"/>
  <c r="R11" i="241"/>
  <c r="T11" i="241" s="1"/>
  <c r="T23" i="218"/>
  <c r="R23" i="218"/>
  <c r="R24" i="218"/>
  <c r="R28" i="218"/>
  <c r="L14" i="225"/>
  <c r="R11" i="240"/>
  <c r="T11" i="240" s="1"/>
  <c r="T14" i="240" s="1"/>
  <c r="R24" i="239"/>
  <c r="T24" i="239" s="1"/>
  <c r="R23" i="239"/>
  <c r="T23" i="239" s="1"/>
  <c r="R22" i="239"/>
  <c r="T22" i="239" s="1"/>
  <c r="R21" i="239"/>
  <c r="T21" i="239" s="1"/>
  <c r="R20" i="239"/>
  <c r="T20" i="239" s="1"/>
  <c r="R19" i="239"/>
  <c r="T19" i="239" s="1"/>
  <c r="R18" i="239"/>
  <c r="T18" i="239" s="1"/>
  <c r="R17" i="239"/>
  <c r="T17" i="239" s="1"/>
  <c r="R16" i="239"/>
  <c r="T16" i="239" s="1"/>
  <c r="R15" i="239"/>
  <c r="T15" i="239" s="1"/>
  <c r="R14" i="239"/>
  <c r="T14" i="239" s="1"/>
  <c r="R12" i="239"/>
  <c r="R11" i="239"/>
  <c r="R11" i="238"/>
  <c r="T11" i="238" s="1"/>
  <c r="T14" i="238" s="1"/>
  <c r="R11" i="237"/>
  <c r="T11" i="237" s="1"/>
  <c r="T24" i="236"/>
  <c r="R24" i="236"/>
  <c r="T23" i="236"/>
  <c r="R23" i="236"/>
  <c r="R22" i="236"/>
  <c r="T22" i="236" s="1"/>
  <c r="R21" i="236"/>
  <c r="T21" i="236" s="1"/>
  <c r="R20" i="236"/>
  <c r="T20" i="236" s="1"/>
  <c r="T19" i="236"/>
  <c r="R19" i="236"/>
  <c r="R18" i="236"/>
  <c r="T18" i="236" s="1"/>
  <c r="T17" i="236"/>
  <c r="R17" i="236"/>
  <c r="R16" i="236"/>
  <c r="T16" i="236" s="1"/>
  <c r="R12" i="236"/>
  <c r="T12" i="236" s="1"/>
  <c r="R11" i="236"/>
  <c r="T11" i="236" s="1"/>
  <c r="R12" i="235"/>
  <c r="T12" i="235" s="1"/>
  <c r="T23" i="235" s="1"/>
  <c r="R11" i="235"/>
  <c r="T11" i="235" s="1"/>
  <c r="R11" i="234"/>
  <c r="T11" i="234" s="1"/>
  <c r="R17" i="233"/>
  <c r="T17" i="233" s="1"/>
  <c r="R16" i="233"/>
  <c r="T16" i="233" s="1"/>
  <c r="R15" i="233"/>
  <c r="T15" i="233" s="1"/>
  <c r="R14" i="233"/>
  <c r="T14" i="233" s="1"/>
  <c r="R13" i="233"/>
  <c r="T13" i="233" s="1"/>
  <c r="R12" i="233"/>
  <c r="T12" i="233" s="1"/>
  <c r="R11" i="233"/>
  <c r="R24" i="232"/>
  <c r="T24" i="232" s="1"/>
  <c r="R23" i="232"/>
  <c r="T23" i="232" s="1"/>
  <c r="R22" i="232"/>
  <c r="T22" i="232" s="1"/>
  <c r="R21" i="232"/>
  <c r="T21" i="232" s="1"/>
  <c r="R20" i="232"/>
  <c r="T20" i="232" s="1"/>
  <c r="R19" i="232"/>
  <c r="T19" i="232" s="1"/>
  <c r="R18" i="232"/>
  <c r="T18" i="232" s="1"/>
  <c r="R17" i="232"/>
  <c r="T17" i="232" s="1"/>
  <c r="R16" i="232"/>
  <c r="T16" i="232" s="1"/>
  <c r="R15" i="232"/>
  <c r="T15" i="232" s="1"/>
  <c r="R14" i="232"/>
  <c r="T14" i="232" s="1"/>
  <c r="R13" i="232"/>
  <c r="R12" i="232"/>
  <c r="T12" i="232" s="1"/>
  <c r="R11" i="232"/>
  <c r="T11" i="232" s="1"/>
  <c r="T11" i="239" l="1"/>
  <c r="T27" i="239" s="1"/>
  <c r="T27" i="232"/>
  <c r="T28" i="232" s="1"/>
  <c r="T27" i="236"/>
  <c r="T28" i="236" s="1"/>
  <c r="T14" i="237"/>
  <c r="T15" i="237" s="1"/>
  <c r="T27" i="241"/>
  <c r="T28" i="241" s="1"/>
  <c r="T15" i="240"/>
  <c r="T15" i="238"/>
  <c r="T24" i="235"/>
  <c r="T28" i="239" l="1"/>
  <c r="T14" i="217"/>
  <c r="R25" i="214"/>
  <c r="T25" i="214" s="1"/>
  <c r="R24" i="230"/>
  <c r="T24" i="230" s="1"/>
  <c r="R23" i="230"/>
  <c r="T23" i="230" s="1"/>
  <c r="T22" i="230"/>
  <c r="R22" i="230"/>
  <c r="R21" i="230"/>
  <c r="T21" i="230" s="1"/>
  <c r="T20" i="230"/>
  <c r="R20" i="230"/>
  <c r="R19" i="230"/>
  <c r="T19" i="230" s="1"/>
  <c r="T18" i="230"/>
  <c r="R18" i="230"/>
  <c r="R17" i="230"/>
  <c r="T17" i="230" s="1"/>
  <c r="T16" i="230"/>
  <c r="R16" i="230"/>
  <c r="R15" i="230"/>
  <c r="T15" i="230" s="1"/>
  <c r="T13" i="230"/>
  <c r="R13" i="230"/>
  <c r="R12" i="230"/>
  <c r="T12" i="230" s="1"/>
  <c r="R11" i="230"/>
  <c r="J14" i="225"/>
  <c r="T13" i="217"/>
  <c r="T17" i="218"/>
  <c r="T12" i="217"/>
  <c r="T24" i="229"/>
  <c r="R24" i="229"/>
  <c r="R23" i="229"/>
  <c r="T23" i="229" s="1"/>
  <c r="R22" i="229"/>
  <c r="T22" i="229" s="1"/>
  <c r="R21" i="229"/>
  <c r="T21" i="229" s="1"/>
  <c r="R20" i="229"/>
  <c r="T20" i="229" s="1"/>
  <c r="R19" i="229"/>
  <c r="T19" i="229" s="1"/>
  <c r="T18" i="229"/>
  <c r="R18" i="229"/>
  <c r="R17" i="229"/>
  <c r="T17" i="229" s="1"/>
  <c r="T16" i="229"/>
  <c r="R16" i="229"/>
  <c r="R15" i="229"/>
  <c r="T15" i="229" s="1"/>
  <c r="R14" i="229"/>
  <c r="T14" i="229" s="1"/>
  <c r="T27" i="229" s="1"/>
  <c r="R12" i="229"/>
  <c r="R11" i="229"/>
  <c r="I11" i="215"/>
  <c r="J25" i="216"/>
  <c r="I25" i="216"/>
  <c r="R18" i="228"/>
  <c r="T18" i="228" s="1"/>
  <c r="R17" i="228"/>
  <c r="T17" i="228" s="1"/>
  <c r="R16" i="228"/>
  <c r="T16" i="228" s="1"/>
  <c r="R15" i="228"/>
  <c r="T15" i="228" s="1"/>
  <c r="R14" i="228"/>
  <c r="T14" i="228" s="1"/>
  <c r="R13" i="228"/>
  <c r="T13" i="228" s="1"/>
  <c r="R12" i="228"/>
  <c r="R11" i="228"/>
  <c r="S14" i="221"/>
  <c r="H25" i="216"/>
  <c r="G15" i="218"/>
  <c r="R11" i="227"/>
  <c r="T11" i="227" s="1"/>
  <c r="T27" i="227" s="1"/>
  <c r="G14" i="225"/>
  <c r="R11" i="226"/>
  <c r="T11" i="226" s="1"/>
  <c r="G16" i="218"/>
  <c r="R41" i="210"/>
  <c r="T41" i="210" s="1"/>
  <c r="R42" i="210"/>
  <c r="T42" i="210" s="1"/>
  <c r="R43" i="210"/>
  <c r="T43" i="210" s="1"/>
  <c r="R44" i="210"/>
  <c r="T44" i="210" s="1"/>
  <c r="R45" i="210"/>
  <c r="T45" i="210" s="1"/>
  <c r="R46" i="210"/>
  <c r="T46" i="210" s="1"/>
  <c r="G42" i="212"/>
  <c r="G39" i="212"/>
  <c r="G12" i="212"/>
  <c r="R24" i="225"/>
  <c r="T24" i="225" s="1"/>
  <c r="R23" i="225"/>
  <c r="T23" i="225" s="1"/>
  <c r="R22" i="225"/>
  <c r="T22" i="225" s="1"/>
  <c r="R21" i="225"/>
  <c r="T21" i="225" s="1"/>
  <c r="R20" i="225"/>
  <c r="T20" i="225" s="1"/>
  <c r="R19" i="225"/>
  <c r="T19" i="225" s="1"/>
  <c r="R18" i="225"/>
  <c r="T18" i="225" s="1"/>
  <c r="R17" i="225"/>
  <c r="T17" i="225" s="1"/>
  <c r="R16" i="225"/>
  <c r="R15" i="225"/>
  <c r="R14" i="225"/>
  <c r="T14" i="225" s="1"/>
  <c r="R13" i="225"/>
  <c r="T13" i="225" s="1"/>
  <c r="R12" i="225"/>
  <c r="T12" i="225" s="1"/>
  <c r="R11" i="225"/>
  <c r="T11" i="225" s="1"/>
  <c r="R22" i="224"/>
  <c r="T22" i="224" s="1"/>
  <c r="R21" i="224"/>
  <c r="T21" i="224" s="1"/>
  <c r="R20" i="224"/>
  <c r="T20" i="224" s="1"/>
  <c r="R19" i="224"/>
  <c r="T19" i="224" s="1"/>
  <c r="R18" i="224"/>
  <c r="T18" i="224" s="1"/>
  <c r="R14" i="224"/>
  <c r="T14" i="224" s="1"/>
  <c r="R13" i="224"/>
  <c r="T13" i="224" s="1"/>
  <c r="R12" i="224"/>
  <c r="T12" i="224" s="1"/>
  <c r="R11" i="224"/>
  <c r="T11" i="224" s="1"/>
  <c r="T18" i="213"/>
  <c r="T19" i="213"/>
  <c r="T20" i="213"/>
  <c r="T21" i="213"/>
  <c r="T22" i="213"/>
  <c r="T23" i="213"/>
  <c r="R14" i="213"/>
  <c r="T14" i="213" s="1"/>
  <c r="R15" i="213"/>
  <c r="T15" i="213" s="1"/>
  <c r="R16" i="213"/>
  <c r="T16" i="213" s="1"/>
  <c r="R12" i="223"/>
  <c r="T12" i="223" s="1"/>
  <c r="R11" i="223"/>
  <c r="T11" i="223" s="1"/>
  <c r="S11" i="222"/>
  <c r="R24" i="222"/>
  <c r="T24" i="222" s="1"/>
  <c r="R23" i="222"/>
  <c r="T23" i="222" s="1"/>
  <c r="R22" i="222"/>
  <c r="T22" i="222" s="1"/>
  <c r="R21" i="222"/>
  <c r="T21" i="222" s="1"/>
  <c r="R20" i="222"/>
  <c r="T20" i="222" s="1"/>
  <c r="R19" i="222"/>
  <c r="T19" i="222" s="1"/>
  <c r="R18" i="222"/>
  <c r="T18" i="222" s="1"/>
  <c r="R17" i="222"/>
  <c r="T17" i="222" s="1"/>
  <c r="R16" i="222"/>
  <c r="T16" i="222" s="1"/>
  <c r="R13" i="222"/>
  <c r="R12" i="222"/>
  <c r="R11" i="222"/>
  <c r="F11" i="216"/>
  <c r="R16" i="221"/>
  <c r="R15" i="221"/>
  <c r="T15" i="221" s="1"/>
  <c r="R14" i="221"/>
  <c r="R13" i="221"/>
  <c r="T13" i="221" s="1"/>
  <c r="R12" i="221"/>
  <c r="T12" i="221" s="1"/>
  <c r="R11" i="221"/>
  <c r="T11" i="221" s="1"/>
  <c r="T24" i="220"/>
  <c r="R24" i="220"/>
  <c r="R19" i="220"/>
  <c r="T19" i="220" s="1"/>
  <c r="R18" i="220"/>
  <c r="T18" i="220" s="1"/>
  <c r="R17" i="220"/>
  <c r="T17" i="220" s="1"/>
  <c r="R16" i="220"/>
  <c r="T16" i="220" s="1"/>
  <c r="R15" i="220"/>
  <c r="T15" i="220" s="1"/>
  <c r="R14" i="220"/>
  <c r="T14" i="220" s="1"/>
  <c r="R13" i="220"/>
  <c r="T13" i="220" s="1"/>
  <c r="R12" i="220"/>
  <c r="T12" i="220" s="1"/>
  <c r="R11" i="220"/>
  <c r="T11" i="220" s="1"/>
  <c r="T24" i="219"/>
  <c r="R23" i="219"/>
  <c r="T23" i="219" s="1"/>
  <c r="R22" i="219"/>
  <c r="T22" i="219" s="1"/>
  <c r="R21" i="219"/>
  <c r="T21" i="219" s="1"/>
  <c r="R20" i="219"/>
  <c r="T20" i="219" s="1"/>
  <c r="R19" i="219"/>
  <c r="T19" i="219" s="1"/>
  <c r="R18" i="219"/>
  <c r="T18" i="219" s="1"/>
  <c r="R17" i="219"/>
  <c r="T17" i="219" s="1"/>
  <c r="R16" i="219"/>
  <c r="T16" i="219" s="1"/>
  <c r="R15" i="219"/>
  <c r="T15" i="219" s="1"/>
  <c r="R14" i="219"/>
  <c r="R13" i="219"/>
  <c r="T13" i="219" s="1"/>
  <c r="R12" i="219"/>
  <c r="R11" i="219"/>
  <c r="R15" i="216"/>
  <c r="T15" i="216" s="1"/>
  <c r="R16" i="216"/>
  <c r="R17" i="216"/>
  <c r="T17" i="216" s="1"/>
  <c r="R18" i="216"/>
  <c r="T18" i="216" s="1"/>
  <c r="R19" i="216"/>
  <c r="T19" i="216" s="1"/>
  <c r="R20" i="216"/>
  <c r="T20" i="216" s="1"/>
  <c r="R21" i="216"/>
  <c r="T21" i="216" s="1"/>
  <c r="R22" i="216"/>
  <c r="T22" i="216" s="1"/>
  <c r="R23" i="216"/>
  <c r="T23" i="216" s="1"/>
  <c r="R24" i="216"/>
  <c r="T24" i="216" s="1"/>
  <c r="R26" i="216"/>
  <c r="T26" i="216" s="1"/>
  <c r="R27" i="216"/>
  <c r="T27" i="216" s="1"/>
  <c r="R28" i="216"/>
  <c r="T28" i="216" s="1"/>
  <c r="R29" i="216"/>
  <c r="T29" i="216" s="1"/>
  <c r="R30" i="216"/>
  <c r="T30" i="216" s="1"/>
  <c r="R31" i="216"/>
  <c r="T31" i="216" s="1"/>
  <c r="R14" i="216"/>
  <c r="T14" i="216" s="1"/>
  <c r="R13" i="216"/>
  <c r="T13" i="216" s="1"/>
  <c r="T15" i="226" l="1"/>
  <c r="T14" i="226"/>
  <c r="T27" i="230"/>
  <c r="T28" i="230" s="1"/>
  <c r="T25" i="224"/>
  <c r="T27" i="220"/>
  <c r="T28" i="220" s="1"/>
  <c r="T37" i="219"/>
  <c r="T38" i="219" s="1"/>
  <c r="T27" i="225"/>
  <c r="T28" i="225" s="1"/>
  <c r="T28" i="229"/>
  <c r="R25" i="216"/>
  <c r="T25" i="216" s="1"/>
  <c r="T14" i="221"/>
  <c r="T27" i="221" s="1"/>
  <c r="T28" i="227"/>
  <c r="T26" i="224"/>
  <c r="T11" i="222"/>
  <c r="R22" i="218"/>
  <c r="T22" i="218" s="1"/>
  <c r="R21" i="218"/>
  <c r="T21" i="218" s="1"/>
  <c r="R20" i="218"/>
  <c r="R19" i="218"/>
  <c r="T19" i="218" s="1"/>
  <c r="R18" i="218"/>
  <c r="T18" i="218" s="1"/>
  <c r="R17" i="218"/>
  <c r="R16" i="218"/>
  <c r="T16" i="218" s="1"/>
  <c r="R15" i="218"/>
  <c r="T15" i="218" s="1"/>
  <c r="R14" i="218"/>
  <c r="T14" i="218" s="1"/>
  <c r="R13" i="218"/>
  <c r="T13" i="218" s="1"/>
  <c r="R12" i="218"/>
  <c r="T12" i="218" s="1"/>
  <c r="R11" i="218"/>
  <c r="T11" i="218" s="1"/>
  <c r="T30" i="218" s="1"/>
  <c r="T24" i="217"/>
  <c r="R24" i="217"/>
  <c r="R23" i="217"/>
  <c r="T23" i="217" s="1"/>
  <c r="T22" i="217"/>
  <c r="R22" i="217"/>
  <c r="R21" i="217"/>
  <c r="T21" i="217" s="1"/>
  <c r="R20" i="217"/>
  <c r="T20" i="217" s="1"/>
  <c r="R19" i="217"/>
  <c r="T19" i="217" s="1"/>
  <c r="R18" i="217"/>
  <c r="T18" i="217" s="1"/>
  <c r="R17" i="217"/>
  <c r="T17" i="217" s="1"/>
  <c r="R14" i="217"/>
  <c r="R13" i="217"/>
  <c r="R12" i="217"/>
  <c r="R11" i="217"/>
  <c r="R12" i="216"/>
  <c r="S12" i="216" s="1"/>
  <c r="R11" i="216"/>
  <c r="R11" i="215"/>
  <c r="T11" i="215" s="1"/>
  <c r="T14" i="215" s="1"/>
  <c r="R39" i="212"/>
  <c r="T39" i="212" s="1"/>
  <c r="R40" i="212"/>
  <c r="T40" i="212" s="1"/>
  <c r="R41" i="212"/>
  <c r="T41" i="212" s="1"/>
  <c r="R42" i="212"/>
  <c r="T42" i="212" s="1"/>
  <c r="R43" i="212"/>
  <c r="T43" i="212" s="1"/>
  <c r="R44" i="212"/>
  <c r="T44" i="212" s="1"/>
  <c r="R38" i="212"/>
  <c r="T38" i="212" s="1"/>
  <c r="T27" i="217" l="1"/>
  <c r="T28" i="217" s="1"/>
  <c r="T27" i="222"/>
  <c r="T28" i="222" s="1"/>
  <c r="T28" i="221"/>
  <c r="T31" i="218"/>
  <c r="T15" i="215"/>
  <c r="R36" i="212"/>
  <c r="T36" i="212" s="1"/>
  <c r="R35" i="212"/>
  <c r="T35" i="212" s="1"/>
  <c r="R34" i="212"/>
  <c r="T34" i="212" s="1"/>
  <c r="R35" i="210"/>
  <c r="T35" i="210" s="1"/>
  <c r="R36" i="210"/>
  <c r="T36" i="210" s="1"/>
  <c r="R37" i="210"/>
  <c r="T37" i="210" s="1"/>
  <c r="R38" i="210"/>
  <c r="T38" i="210" s="1"/>
  <c r="R39" i="210"/>
  <c r="T39" i="210" s="1"/>
  <c r="R40" i="210"/>
  <c r="T40" i="210" s="1"/>
  <c r="R24" i="214"/>
  <c r="T24" i="214" s="1"/>
  <c r="R23" i="214"/>
  <c r="T23" i="214" s="1"/>
  <c r="R22" i="214"/>
  <c r="T22" i="214" s="1"/>
  <c r="R21" i="214"/>
  <c r="T21" i="214" s="1"/>
  <c r="R20" i="214"/>
  <c r="T20" i="214" s="1"/>
  <c r="R19" i="214"/>
  <c r="T19" i="214" s="1"/>
  <c r="R18" i="214"/>
  <c r="T18" i="214" s="1"/>
  <c r="R17" i="214"/>
  <c r="T17" i="214" s="1"/>
  <c r="R16" i="214"/>
  <c r="T16" i="214" s="1"/>
  <c r="R15" i="214"/>
  <c r="T15" i="214" s="1"/>
  <c r="R14" i="214"/>
  <c r="T14" i="214" s="1"/>
  <c r="R13" i="214"/>
  <c r="T13" i="214" s="1"/>
  <c r="R12" i="214"/>
  <c r="T12" i="214" s="1"/>
  <c r="R11" i="214"/>
  <c r="R13" i="213"/>
  <c r="T13" i="213" s="1"/>
  <c r="R12" i="213"/>
  <c r="T12" i="213" s="1"/>
  <c r="R11" i="213"/>
  <c r="R37" i="212"/>
  <c r="T37" i="212" s="1"/>
  <c r="R33" i="212"/>
  <c r="T33" i="212" s="1"/>
  <c r="R32" i="212"/>
  <c r="T32" i="212" s="1"/>
  <c r="R31" i="212"/>
  <c r="T31" i="212" s="1"/>
  <c r="R30" i="212"/>
  <c r="T30" i="212" s="1"/>
  <c r="R29" i="212"/>
  <c r="T29" i="212" s="1"/>
  <c r="R28" i="212"/>
  <c r="T28" i="212" s="1"/>
  <c r="R27" i="212"/>
  <c r="T27" i="212" s="1"/>
  <c r="R26" i="212"/>
  <c r="T26" i="212" s="1"/>
  <c r="R25" i="212"/>
  <c r="T25" i="212" s="1"/>
  <c r="R24" i="212"/>
  <c r="T24" i="212" s="1"/>
  <c r="R23" i="212"/>
  <c r="T23" i="212" s="1"/>
  <c r="R22" i="212"/>
  <c r="T22" i="212" s="1"/>
  <c r="R21" i="212"/>
  <c r="T21" i="212" s="1"/>
  <c r="R20" i="212"/>
  <c r="T20" i="212" s="1"/>
  <c r="R19" i="212"/>
  <c r="T19" i="212" s="1"/>
  <c r="R18" i="212"/>
  <c r="T18" i="212" s="1"/>
  <c r="R17" i="212"/>
  <c r="T17" i="212" s="1"/>
  <c r="R16" i="212"/>
  <c r="T16" i="212" s="1"/>
  <c r="R15" i="212"/>
  <c r="T15" i="212" s="1"/>
  <c r="R14" i="212"/>
  <c r="T14" i="212" s="1"/>
  <c r="R13" i="212"/>
  <c r="T13" i="212" s="1"/>
  <c r="R12" i="212"/>
  <c r="T12" i="212" s="1"/>
  <c r="R11" i="212"/>
  <c r="T11" i="212" s="1"/>
  <c r="R17" i="211"/>
  <c r="T17" i="211" s="1"/>
  <c r="R16" i="211"/>
  <c r="T16" i="211" s="1"/>
  <c r="R15" i="211"/>
  <c r="T15" i="211" s="1"/>
  <c r="R14" i="211"/>
  <c r="T14" i="211" s="1"/>
  <c r="R13" i="211"/>
  <c r="T13" i="211" s="1"/>
  <c r="R12" i="211"/>
  <c r="T12" i="211" s="1"/>
  <c r="R11" i="211"/>
  <c r="R34" i="210"/>
  <c r="T34" i="210" s="1"/>
  <c r="R14" i="210"/>
  <c r="T14" i="210" s="1"/>
  <c r="R15" i="210"/>
  <c r="T15" i="210" s="1"/>
  <c r="R16" i="210"/>
  <c r="T16" i="210" s="1"/>
  <c r="R17" i="210"/>
  <c r="T17" i="210" s="1"/>
  <c r="R18" i="210"/>
  <c r="T18" i="210" s="1"/>
  <c r="R19" i="210"/>
  <c r="T19" i="210" s="1"/>
  <c r="R20" i="210"/>
  <c r="T20" i="210" s="1"/>
  <c r="R21" i="210"/>
  <c r="T21" i="210" s="1"/>
  <c r="R22" i="210"/>
  <c r="T22" i="210" s="1"/>
  <c r="R23" i="210"/>
  <c r="T23" i="210" s="1"/>
  <c r="R24" i="210"/>
  <c r="T24" i="210" s="1"/>
  <c r="R25" i="210"/>
  <c r="T25" i="210" s="1"/>
  <c r="R26" i="210"/>
  <c r="T26" i="210" s="1"/>
  <c r="R27" i="210"/>
  <c r="T27" i="210" s="1"/>
  <c r="R28" i="210"/>
  <c r="T28" i="210" s="1"/>
  <c r="R29" i="210"/>
  <c r="T29" i="210" s="1"/>
  <c r="R30" i="210"/>
  <c r="T30" i="210" s="1"/>
  <c r="R31" i="210"/>
  <c r="T31" i="210" s="1"/>
  <c r="R32" i="210"/>
  <c r="T32" i="210" s="1"/>
  <c r="R33" i="210"/>
  <c r="T33" i="210" s="1"/>
  <c r="R13" i="210"/>
  <c r="T13" i="210" s="1"/>
  <c r="R12" i="210"/>
  <c r="T12" i="210" s="1"/>
  <c r="T52" i="212" l="1"/>
  <c r="T53" i="212" s="1"/>
  <c r="T11" i="214"/>
  <c r="T11" i="213"/>
  <c r="T11" i="211"/>
  <c r="T42" i="211" s="1"/>
  <c r="T43" i="211" s="1"/>
  <c r="R11" i="210"/>
  <c r="T25" i="213" l="1"/>
  <c r="T26" i="213" s="1"/>
  <c r="T42" i="214"/>
  <c r="T43" i="214" s="1"/>
  <c r="T11" i="210"/>
</calcChain>
</file>

<file path=xl/sharedStrings.xml><?xml version="1.0" encoding="utf-8"?>
<sst xmlns="http://schemas.openxmlformats.org/spreadsheetml/2006/main" count="4298" uniqueCount="863">
  <si>
    <t>No.</t>
  </si>
  <si>
    <t>CANTIDAD</t>
  </si>
  <si>
    <t>Clave</t>
  </si>
  <si>
    <t>Unidad</t>
  </si>
  <si>
    <t>Descripción del Bien y/o Servicio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</si>
  <si>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</si>
  <si>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</si>
  <si>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</si>
  <si>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</si>
  <si>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</si>
  <si>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</si>
  <si>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</si>
  <si>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</si>
  <si>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</si>
  <si>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</si>
  <si>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</si>
  <si>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</si>
  <si>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</si>
  <si>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IVA</t>
  </si>
  <si>
    <t>PARTIDA PRESUPUESTAL:</t>
  </si>
  <si>
    <t xml:space="preserve">P.U.              ESTIMADO </t>
  </si>
  <si>
    <t>SECRETARIA DE DESARROLLO RURAL Y MEDIO AMBIENTE (SEDERMA)</t>
  </si>
  <si>
    <t>EJERCICIO 2019</t>
  </si>
  <si>
    <t>PROYECCION DEL PROGRAMA ANUAL DE ADQUISICIONES, ARRENDAMIENTOS Y SERIVICIOS</t>
  </si>
  <si>
    <t>GASTO CORRIENTE 2018</t>
  </si>
  <si>
    <t>IMPORTE                 TOTAL</t>
  </si>
  <si>
    <t>2110200 ARTICULOS Y MATERIAL DE OFICINA</t>
  </si>
  <si>
    <t>CLIPS NO. 1 C/10 C/U</t>
  </si>
  <si>
    <t>CLIPS NO. 2 C/10 C/U</t>
  </si>
  <si>
    <t>BROCHE BACO NO. 8</t>
  </si>
  <si>
    <t>CINTA TRANSPARENTE 24x65</t>
  </si>
  <si>
    <t>CINTA CANELA 48x50</t>
  </si>
  <si>
    <t>CINTA TRANSPARENTE 48x50</t>
  </si>
  <si>
    <t>MARCADOR NEGRO PERMANENTE</t>
  </si>
  <si>
    <t>TIJERAS</t>
  </si>
  <si>
    <t>CUTTER</t>
  </si>
  <si>
    <t>QUITA GRAPAS</t>
  </si>
  <si>
    <t>MARCADOR NEGRO PUNTO FINO</t>
  </si>
  <si>
    <t>CUENTA FACIL</t>
  </si>
  <si>
    <t>PLUMAS BIC (20 AZUL Y 10 NEGRO)</t>
  </si>
  <si>
    <t>LAPIZ NO. 2 C/100 PZAS.</t>
  </si>
  <si>
    <t>ENGRAPADORAS</t>
  </si>
  <si>
    <t>GRAPAS C/20 CAJAS C/U</t>
  </si>
  <si>
    <t>MARCADOR NEGRO</t>
  </si>
  <si>
    <t>CD´S TORRE C/100</t>
  </si>
  <si>
    <t>BORRADOR WS 30</t>
  </si>
  <si>
    <t>SACAPUNTAS</t>
  </si>
  <si>
    <t>PEGAMENTO EN BARRA DE 30 GMS.</t>
  </si>
  <si>
    <t>CORREECTOR LIQUIDO</t>
  </si>
  <si>
    <t>CORRECTOR DE CINTA</t>
  </si>
  <si>
    <t>S/C</t>
  </si>
  <si>
    <t>CAJA</t>
  </si>
  <si>
    <t>PZA.</t>
  </si>
  <si>
    <t>PAQ.</t>
  </si>
  <si>
    <t>TORRE</t>
  </si>
  <si>
    <t>2110600 PRODUCTOS DE PAPEL Y HULE  PARA USO EN OFICINA</t>
  </si>
  <si>
    <t>HOJAS BLANCAS  T/CARTA</t>
  </si>
  <si>
    <t>LIBRETA PROFESIONAL</t>
  </si>
  <si>
    <t>CARPETA T/C CON PALANCA</t>
  </si>
  <si>
    <t>CARPETA T/C  CON BROCHE BACCO NO. 8</t>
  </si>
  <si>
    <t>BLOCK POSTIC 3x3 C/4 COLOR</t>
  </si>
  <si>
    <t>RECOPILADOR T/C</t>
  </si>
  <si>
    <t>CAJAS DE CARTON PARA ARCHIVO MUERTO T/C</t>
  </si>
  <si>
    <t xml:space="preserve">LIBRETA DE TAQUIGRAFIA </t>
  </si>
  <si>
    <t>PZAS.</t>
  </si>
  <si>
    <t>2160100 MATERIAL Y ARTICULOS DE LIMPIEZA</t>
  </si>
  <si>
    <t>LIMPIADOR  DE PISO CON AROMA A PINO C/12 PZAS.</t>
  </si>
  <si>
    <t>CLORO 950 ML C/15 PZAS.</t>
  </si>
  <si>
    <t>MULTILIMPIADOR DE PISO VARIOS AROMAS  C/18 PZAS.</t>
  </si>
  <si>
    <t>DETERGENTE EN POLVO 500 GRS. C/20 PZAS.</t>
  </si>
  <si>
    <t>LIMPIADOR DE MADERA</t>
  </si>
  <si>
    <t>PASTILLA PARA BAÑO</t>
  </si>
  <si>
    <t>AROMATIZANTE</t>
  </si>
  <si>
    <t>INSECTICIDA EN AEROSOL</t>
  </si>
  <si>
    <t>JABON LIQUIDO PARA MANOS</t>
  </si>
  <si>
    <t>REPUESTO PARA MAPEADOR GRANDE</t>
  </si>
  <si>
    <t>REPUESTO PARA MAPEADOR MEDIANO</t>
  </si>
  <si>
    <t>REPUESTO PARA MAPEADOR CHICO</t>
  </si>
  <si>
    <t>JABON LIQUIDO PARA TRASTES DE 500 ML.</t>
  </si>
  <si>
    <t>FIBRA VERDE</t>
  </si>
  <si>
    <t>GUANTES</t>
  </si>
  <si>
    <t>ESCOBILLONES</t>
  </si>
  <si>
    <t>FRANELA</t>
  </si>
  <si>
    <t>BOLSA NEGRA GRANDE</t>
  </si>
  <si>
    <t>BOLSA NEGRA DE CAMISETA</t>
  </si>
  <si>
    <t>PZA</t>
  </si>
  <si>
    <t>PARES</t>
  </si>
  <si>
    <t>MTS.</t>
  </si>
  <si>
    <t>BULTOS</t>
  </si>
  <si>
    <t>2160200 PRODUCTOS DE PAPEL PARA LIMPIEZA</t>
  </si>
  <si>
    <t>PAPEL HIGIENICO DE ROLLO PARA W.C.</t>
  </si>
  <si>
    <t xml:space="preserve">PAPEL PARA MANOS </t>
  </si>
  <si>
    <t>PAÑUELOS FACIALES</t>
  </si>
  <si>
    <t>2140100 SUMINISTROS INFORMATICOS</t>
  </si>
  <si>
    <t>TONER 85-A</t>
  </si>
  <si>
    <t>TONER 35-A</t>
  </si>
  <si>
    <t>CARTUCHO Q 6470-A</t>
  </si>
  <si>
    <t>CARTUCHO Q 6471-A</t>
  </si>
  <si>
    <t>CARTUCHO Q 6472-A</t>
  </si>
  <si>
    <t>CARTUCHO Q 6473-A</t>
  </si>
  <si>
    <t>TONER D111S</t>
  </si>
  <si>
    <t>TONER Q 7553-A</t>
  </si>
  <si>
    <t>TONER 36-A</t>
  </si>
  <si>
    <t>TONER 64-A</t>
  </si>
  <si>
    <t>CARTUCHO 74-A</t>
  </si>
  <si>
    <t>CARTUCHO 75-A</t>
  </si>
  <si>
    <t>TONER 12-A</t>
  </si>
  <si>
    <t>HOJAS BLANCAS  T/OFICIO</t>
  </si>
  <si>
    <t>TRAPEADOR</t>
  </si>
  <si>
    <t>ARMAZONES PARA MAPEADOR CHICO</t>
  </si>
  <si>
    <t>RECOGEDOR DE PLASTICO PARA BASURA</t>
  </si>
  <si>
    <t>BOTES PARA BASURA</t>
  </si>
  <si>
    <t>SUJETADOCUMENTOS CHICO</t>
  </si>
  <si>
    <t>SUJETADOCUMENTOS MEDIANO</t>
  </si>
  <si>
    <t>SUJETADOCUMENTOS GRANDE</t>
  </si>
  <si>
    <t>MARCADOR AZUL PUNTO FINO</t>
  </si>
  <si>
    <t>MARCADOR GRIS PUNTO FINO</t>
  </si>
  <si>
    <t>PLUMAS BIC (40 AZUL Y 20 NEGRO)</t>
  </si>
  <si>
    <t>FOLDER TAMAÑO CARTA</t>
  </si>
  <si>
    <t>FOLDER TAMAÑO OFICIO</t>
  </si>
  <si>
    <t>CAJAS DE CARTON PARA ARCHIVO MUERTO T/OFICIO</t>
  </si>
  <si>
    <t>MAPEADOR CHICO</t>
  </si>
  <si>
    <t>MAPEADOR MEDIANO</t>
  </si>
  <si>
    <t>MAPEADOR GRANDE</t>
  </si>
  <si>
    <t>LIMPIADOR LIQUIDO PARA CRISTALES</t>
  </si>
  <si>
    <t>ESCOBA</t>
  </si>
  <si>
    <t>SL-M2070 D111S</t>
  </si>
  <si>
    <t>ESCOBA ABANICO GRANDE</t>
  </si>
  <si>
    <t>LIMPIADOR MULTIUSOS FABULOSO C/20 LT</t>
  </si>
  <si>
    <t>BIDON</t>
  </si>
  <si>
    <t>TOALLA SANITARIA INTERDOBLADA</t>
  </si>
  <si>
    <t>3130100 AGUA</t>
  </si>
  <si>
    <t>PIPA DE AGUA</t>
  </si>
  <si>
    <t>2210501 ALIMENTOS DE TRABAJO</t>
  </si>
  <si>
    <t>COMPRA DE FRUTOS SECOS</t>
  </si>
  <si>
    <t>KGM</t>
  </si>
  <si>
    <t>3710100 PASAJE AEREO</t>
  </si>
  <si>
    <t>3720100 PASAJE TERRESTRE</t>
  </si>
  <si>
    <t>SERVICIO</t>
  </si>
  <si>
    <t>CONCESIONARIA AUTOPISTA GUADALAJARA  TEPIC SA. DE C.V</t>
  </si>
  <si>
    <t>SERV.</t>
  </si>
  <si>
    <t>CONSUMO DE ALIMENTOS</t>
  </si>
  <si>
    <t>2960200 ARTICULOS AUTOMOTRICES MENORES</t>
  </si>
  <si>
    <t xml:space="preserve">LIQUIDO PARA FRENOS </t>
  </si>
  <si>
    <t>LITRO</t>
  </si>
  <si>
    <t>3550100 REPARACION Y MANTENIMIENTO DE EQUIPO DE TRANSPORTE</t>
  </si>
  <si>
    <t>MANTENIMIENTO DE VEHICULO</t>
  </si>
  <si>
    <t>USO DE TAXI NO CONTROLADO</t>
  </si>
  <si>
    <t>3820100 GASTOS DE ORDEN SOCIAL</t>
  </si>
  <si>
    <t>CANASTO DE PINO SECO</t>
  </si>
  <si>
    <t>FONDO NACIONAL DE INFRAESTRUCTURA</t>
  </si>
  <si>
    <t>TARIFA</t>
  </si>
  <si>
    <t>3230100 ARRENDAMIENTO DE EQUIPO Y BIENES INFORMATICOS</t>
  </si>
  <si>
    <t>RENTA DE COPIADORA</t>
  </si>
  <si>
    <t>2460100 ACCESORIOS Y MATERIALES ELECTRICOS MENORES PARA EQUIPO  DE TRANSPORTE</t>
  </si>
  <si>
    <t>BATERIA PARA CAMIONETA</t>
  </si>
  <si>
    <t>CAJA DE GALLETAS SURTIDO</t>
  </si>
  <si>
    <t>VASO TERMICO NO. 010</t>
  </si>
  <si>
    <t>COFFE MATE C/ 600 SOBRES</t>
  </si>
  <si>
    <t>AZUCAR REFINADA EN SOBRES C/1000</t>
  </si>
  <si>
    <t>2230200 ARTICULOS PARA ALIMENTACION</t>
  </si>
  <si>
    <t>CUCHARAS DE PLASTICO</t>
  </si>
  <si>
    <t>BOLSA</t>
  </si>
  <si>
    <t>SERVILLETA CON 450 PIEZAS</t>
  </si>
  <si>
    <t>PIEZA</t>
  </si>
  <si>
    <t>PAQ</t>
  </si>
  <si>
    <t>PAQUETE DE AGUA 40/500 ML</t>
  </si>
  <si>
    <t>CAFÉ MEMBERK MARK COLOMBIANO</t>
  </si>
  <si>
    <t>KILO</t>
  </si>
  <si>
    <t>STEVIA MM C/ 400</t>
  </si>
  <si>
    <t>CUCHARA DE PLASTICO C/300</t>
  </si>
  <si>
    <t>VASO TERMICO NO. 10 C/120</t>
  </si>
  <si>
    <t>PLATOS DE UNICEL C/200 PZAS</t>
  </si>
  <si>
    <t>2610100 COMBUSTIBLE LUBRICANTES Y ADITIVOS</t>
  </si>
  <si>
    <t xml:space="preserve">MAGNA </t>
  </si>
  <si>
    <t>MAGNA MAZATLAN</t>
  </si>
  <si>
    <t>CONCESIONARIA DE CARRETERAS AUTOPISTAS Y LIBRAMIENTOS DE LA REPUBLICA MEXICANA S.A. DE C.V.</t>
  </si>
  <si>
    <t>CONCESIONARIA DE AUTOPISTAS Y LIBRAMIENTOS DEL PACIFICO NORTE S.A. DE C.V.</t>
  </si>
  <si>
    <t>SERVICIO DE TAXI</t>
  </si>
  <si>
    <t>CUBETA DE PLASTICO</t>
  </si>
  <si>
    <t>JABON EN POLVO DE 1 KG</t>
  </si>
  <si>
    <t>CAJA DE HOJAS BLANCAS T/CARTA</t>
  </si>
  <si>
    <t>FOLDER T/CARTA C/100 PZA</t>
  </si>
  <si>
    <t>FOLDER T/OFICIO C/100 PZA</t>
  </si>
  <si>
    <t>CAJA DE HOJAS BLANCAS T/OFICIO</t>
  </si>
  <si>
    <t>AGUA CIEL 1LT C/12</t>
  </si>
  <si>
    <t>AGUA CIEL 600 ML C/24</t>
  </si>
  <si>
    <t>REFRESCO LATA 355 ML C/12 SURTIDO</t>
  </si>
  <si>
    <t>REFRESCO EN LATA COCA COLA C/12</t>
  </si>
  <si>
    <t>REFRESCO EN LATA COCA COLA C/12 LIGHT</t>
  </si>
  <si>
    <t>3170100 SERVICIOS DE ACCESO A LA INFORMACION, REDES Y PROCESAMIENTOS DE INFORMACION.</t>
  </si>
  <si>
    <t>TMKS-167 ANTIVIRUS 1 LIC 1A</t>
  </si>
  <si>
    <t>FLORES POR DIA DE LA MUJER</t>
  </si>
  <si>
    <t>EXPO GANADERA</t>
  </si>
  <si>
    <t>CONCESIONARIA TEPIC SAN BLAS</t>
  </si>
  <si>
    <t>3790100 OTROS SERVICIOS DE TRASLADO Y HOSPEDAJE</t>
  </si>
  <si>
    <t>SERVICIO DE ESTACIONAMIENTO</t>
  </si>
  <si>
    <t>CAMINANTE AEROPUERTO SA DE CV</t>
  </si>
  <si>
    <t>VUELOS TEP/ MEXICO REDONDO</t>
  </si>
  <si>
    <t>GARRAFONES DE AGUA</t>
  </si>
  <si>
    <t>ALIMENTOS DEGUSTACION FERIA 2018</t>
  </si>
  <si>
    <t>GRUPO HERRADURA OCCIDENTE SA.DE CV</t>
  </si>
  <si>
    <t>2960100 ACCESORIOS Y MATERIALES ELECTRICOS DE EQUIPO DE TRANSPORTE</t>
  </si>
  <si>
    <t>ACUMULADOR LTH</t>
  </si>
  <si>
    <t>3470100 FLETES Y MANIOBRAS</t>
  </si>
  <si>
    <t>TRASLADO DE SEMILLA DE FRIJOL TUXPAN SAN PEDRO</t>
  </si>
  <si>
    <t>YELOW CAB DEL NUEVO AICM A.S.</t>
  </si>
  <si>
    <t>FLORES DIA DE LAS MADRES</t>
  </si>
  <si>
    <t>3570100 MANTENIMIENTO Y CONSERVACION DE MAQUINARIA Y EQUIPO</t>
  </si>
  <si>
    <t>MANTTO DE RETROEXCAVADORA</t>
  </si>
  <si>
    <t>SAMSUNG NEGRO MLT-D116L</t>
  </si>
  <si>
    <t>VUELOS HUATULCO Y VUELO CD. MEXICO</t>
  </si>
  <si>
    <t>BANCO NACIONAL DE OBRAS Y SERVICIOS PUBLICOS SNC</t>
  </si>
  <si>
    <t>2920200 MATERIAL MENOR DE FERRETERÍA PARA USO EN EDIFICIOS</t>
  </si>
  <si>
    <t>MATERIAL DE EDIFICIOS</t>
  </si>
  <si>
    <t>2910100 ACCESORIOS Y MATERIALES MENORES</t>
  </si>
  <si>
    <t>FILTROS Y VIELETAS</t>
  </si>
  <si>
    <t>2960300 ARTÍCULOS MENORES DE CARÁCTER DIVERSO PARA USO EN EQUIPO DE TRANSPORTE</t>
  </si>
  <si>
    <t xml:space="preserve">CARBUKLIN </t>
  </si>
  <si>
    <t>2960900 PRODUCTOS MENORES DE HULE PARA EQUIPO DE TRANSPORTE</t>
  </si>
  <si>
    <t>TAPON DE RECUPERADOR</t>
  </si>
  <si>
    <t>BUJIAS</t>
  </si>
  <si>
    <t>KIT DE INSTALACION</t>
  </si>
  <si>
    <t>2470400 REFACCIONES Y ESTRUCTURAS PARA LA CONSTRUCCIÓN</t>
  </si>
  <si>
    <t>BASE DE PARED PARA MINISPLIT</t>
  </si>
  <si>
    <t>2990100 ACCESORIOS Y MATERIALES ELÉCTRICOS MENORES PARA OTROS BIENES MUEBLES</t>
  </si>
  <si>
    <t>TARJETA UNIVERSAL CON DISPLAY</t>
  </si>
  <si>
    <t>2990200 ARTÍCULOS MENORES DE SERVICIO GENERAL PARA OTROS BIENES MUEBLES</t>
  </si>
  <si>
    <t>LATA DE GAS REFRIGERANTE GENETRON</t>
  </si>
  <si>
    <t>SELLOS DE RETROEXCAVADORA</t>
  </si>
  <si>
    <t>3510200 MANTENIMIENTO Y CONSERVACIÓN DE INMUEBLES PARA LA PRESTACIÓN DE SERVICIOS PÚBLICOS</t>
  </si>
  <si>
    <t>DESMONTE E INSTALACION DE AIRE ACONDICIONADO</t>
  </si>
  <si>
    <t>3190200 CONTRATACION DE OTROS SERVICIOS</t>
  </si>
  <si>
    <t>PENSION DE ESTACIONAMIENTO</t>
  </si>
  <si>
    <t>EST.</t>
  </si>
  <si>
    <t>LIBRAMIENTO ICA LA PIEDAD</t>
  </si>
  <si>
    <t>AZUCAR ESTANDAR</t>
  </si>
  <si>
    <t>AGUA  C/24 330 ML</t>
  </si>
  <si>
    <t>CONO PARA AGUA NO. 106</t>
  </si>
  <si>
    <t>CAFÉ  MARINO TRADICIONAL</t>
  </si>
  <si>
    <t>2110300 MATERIAL DE FERRETERIA PARA OFICINAS</t>
  </si>
  <si>
    <t>VALVULA PORTAGARRAFON</t>
  </si>
  <si>
    <t>3180100 SERVICIO POSTAL</t>
  </si>
  <si>
    <t>MENSAJERIA</t>
  </si>
  <si>
    <t>PIZARRON BLANCO 90 X 120</t>
  </si>
  <si>
    <t>OMNIBUS DE MEXICO SA DE CV</t>
  </si>
  <si>
    <t>2150200 ARTICULOS PARA SERVICIOS GENERALES</t>
  </si>
  <si>
    <t>ROTULACION DE PUERTA DE CRISTAL</t>
  </si>
  <si>
    <t>CANDADO</t>
  </si>
  <si>
    <t>3520100 INSTALACION, REPARACION Y MANTENIMIENTO DE MOBILIRIO Y EQUIPO DE ADMINISTRACION, EDUCACIONAL Y RECREATIVO.</t>
  </si>
  <si>
    <t>3510100 MANTENIMIENTO Y CONSERVACION DE INMUEBLES PARA LA PRESTACION DE SERVICIOS ADMINISTRATIVOS</t>
  </si>
  <si>
    <t>MANTENIMIENTO DE EDIFICIO</t>
  </si>
  <si>
    <t>SERVICIO TRACTORES DESFILE</t>
  </si>
  <si>
    <t>DETALLADO DE INTERIORES</t>
  </si>
  <si>
    <t>RETEN DE RUEDA DELANTERA</t>
  </si>
  <si>
    <t>BALEROS, KIT DE PLANETARIOS, ETC</t>
  </si>
  <si>
    <t>AMORTIGUADORES</t>
  </si>
  <si>
    <t>ROTULA INFERIOR</t>
  </si>
  <si>
    <t xml:space="preserve">LLANTAS </t>
  </si>
  <si>
    <t>VALVULA</t>
  </si>
  <si>
    <t>CESTO CON TAPA ORGANICA</t>
  </si>
  <si>
    <t>TOALLA EN ROLLO C/6 DE 180 MTS</t>
  </si>
  <si>
    <t>LIQUIDO LAVADOR DE CUERPO DE ACELERACION</t>
  </si>
  <si>
    <t>BOMBA DE GASOLINA  Y BALEROS</t>
  </si>
  <si>
    <t>ACEITES</t>
  </si>
  <si>
    <t>BATERIA DE 23 PLACAS</t>
  </si>
  <si>
    <t>ARRASTRE DE VEHICULOS</t>
  </si>
  <si>
    <t>PAPEL SCRIBE VERDE C/5000 CARTA</t>
  </si>
  <si>
    <t>PAPEL SCRIBE VERDE C/5000 OFICIO</t>
  </si>
  <si>
    <t>FOLDER MAPASA CREMA CTA C/100</t>
  </si>
  <si>
    <t>FOLDER MAPASA CREMA OFICIO C/100</t>
  </si>
  <si>
    <t>OPALINA DELGADA CTA C/100</t>
  </si>
  <si>
    <t>OPALINA GRUESA CTA C/100</t>
  </si>
  <si>
    <t>ARCHIVADOR MP CARTA</t>
  </si>
  <si>
    <t>ARCHIVADOR MP OFICIO</t>
  </si>
  <si>
    <t>LAPIZ BEROL MIRADO NO. 02</t>
  </si>
  <si>
    <t>BOLIGRAFO ZEBRA J ROLLER P/F</t>
  </si>
  <si>
    <t>TRABAJOS DE TABLAROCA</t>
  </si>
  <si>
    <t>FERIA NAYARIT 2018</t>
  </si>
  <si>
    <t>AGUA 500ML 40/500</t>
  </si>
  <si>
    <t>REFRESCO DE LATA 235 ML</t>
  </si>
  <si>
    <t>2960700 MATERIAL  MENOR DE FERRETERIA PARA EQUIPO DE TRANSPORTE</t>
  </si>
  <si>
    <t>TUERCAS CROMADAS</t>
  </si>
  <si>
    <t>2710600 PRODUCTOS TEXTILES ADQUIRIDOS COMO  VESTUARIO Y UNIFORMES</t>
  </si>
  <si>
    <t>UNIFORMES DEPORTIVOS</t>
  </si>
  <si>
    <t>3310200 OTRAS ASESORIAS PARA PROGRAMAS</t>
  </si>
  <si>
    <t>SERVICIOS INTEGRALES</t>
  </si>
  <si>
    <t>3260100 ARRENDAMIENTO DE MAQUINARIA</t>
  </si>
  <si>
    <t>RENTA DE MAQUINARIA</t>
  </si>
  <si>
    <t>HORAS</t>
  </si>
  <si>
    <t>TONER HP1006</t>
  </si>
  <si>
    <t>TONER P2015</t>
  </si>
  <si>
    <t>BROCHAS Y ESPATULAS</t>
  </si>
  <si>
    <t>PZAS</t>
  </si>
  <si>
    <t>2490100 OTROS MATERIALES DE FERRETERIA PARA CONSTRUCCION Y REPARACION</t>
  </si>
  <si>
    <t>PINTURA VINILICA</t>
  </si>
  <si>
    <t>CUBETA</t>
  </si>
  <si>
    <t>REFRESCO TAPA ROSCA 600ML SURTIDO</t>
  </si>
  <si>
    <t xml:space="preserve">MC CORMICK TE </t>
  </si>
  <si>
    <t>LONAS</t>
  </si>
  <si>
    <t>2480700 PRODUCTOS DE PLASTICO, PVC Y SIMILARES PARA LA CONSTRUCCION</t>
  </si>
  <si>
    <t>MATERIAL DE PLASTICO PARA EDIFICIO</t>
  </si>
  <si>
    <t>2940300 REFACCIONES Y ACCESORIOS MENORES DE CARÁCTER INFORMATIVO</t>
  </si>
  <si>
    <t>SWCHIT DE 12 Y 24 PUERTOS</t>
  </si>
  <si>
    <t>REFACCIONES DE VEHICULOS</t>
  </si>
  <si>
    <t>3740100 ARRENDAMIENTO DE MAQUINARIA Y EQUIPO</t>
  </si>
  <si>
    <t>RENTA DE EQUIPO PESADO</t>
  </si>
  <si>
    <t>CLIPS MARIPOSA No1 BACO NIQUELADO</t>
  </si>
  <si>
    <t>CAJAS DE PLUMAS DE GEL</t>
  </si>
  <si>
    <t>PIEZAS DE NOTAS ADHESIVAS REMOVIBLES TUK 7.5X7</t>
  </si>
  <si>
    <t>MARCATEXTOS WEAREVER ALERTA</t>
  </si>
  <si>
    <t>FOLIADOR DE 5 DIGITOS</t>
  </si>
  <si>
    <t>MODULO DE MEMORIA DE 4 GB</t>
  </si>
  <si>
    <t>PIEZAS DE REGULADOR DE VOLTAJE</t>
  </si>
  <si>
    <t>PIEZAS DE TECLADO BASICO</t>
  </si>
  <si>
    <t>PIEZAS DE MOUSE OPTICO</t>
  </si>
  <si>
    <t>PIEZAS DE USB DE 8 GB</t>
  </si>
  <si>
    <t>PIEZAS DE DISCO DURO PARA PC DE 500 GB</t>
  </si>
  <si>
    <t>CARTUCHO No. 97 COLOR IMPRESORA SAMSUNG</t>
  </si>
  <si>
    <t>ACEITE LUBRICANTE PARA MOTOR</t>
  </si>
  <si>
    <t>LIMPIADOR DE INYECTORES</t>
  </si>
  <si>
    <t>ACEITE PARA TRANSMISIÓN ACEITE PARA DIRECCION HIDRAULICA</t>
  </si>
  <si>
    <t>ANTICONGELANTE</t>
  </si>
  <si>
    <t>LIMPIADOR DE CUERPO DE ACELERACION</t>
  </si>
  <si>
    <t>CABLES PARA CORRIENTE</t>
  </si>
  <si>
    <t>ALTERNADOR</t>
  </si>
  <si>
    <t>MARCHAS</t>
  </si>
  <si>
    <t>JUEGO FUSIBLES</t>
  </si>
  <si>
    <t>FOCOS</t>
  </si>
  <si>
    <t>BALATAS DE DISCO</t>
  </si>
  <si>
    <t>BALATAS DE TAMBOR</t>
  </si>
  <si>
    <t>PARABRISAS</t>
  </si>
  <si>
    <t>RADIADOR</t>
  </si>
  <si>
    <t>FILTRO PARA ACEITE</t>
  </si>
  <si>
    <t>FILTRO PARA AIRE</t>
  </si>
  <si>
    <t>FILTRO PARA GASOLINA</t>
  </si>
  <si>
    <t>RETEN DE RUEDAS DELANTERAS</t>
  </si>
  <si>
    <t>RETROVISOR</t>
  </si>
  <si>
    <t>3530100 INSTALACIÓN, REPARACIÓN Y MANTENIMIENTO DE EQUIPO DE COMPUTO Y TECNOLOGIA DE LA INFORMACION</t>
  </si>
  <si>
    <t>MANTENIMIENTO DE IMPRESORA SAMSUMG XPRESS</t>
  </si>
  <si>
    <t>REPARACIÓN Y MANTENIMIENTO DE COMPUTADORA</t>
  </si>
  <si>
    <t>EQUIPO</t>
  </si>
  <si>
    <t>SERVICIO MECANICO DE AFINACIONMAYOR</t>
  </si>
  <si>
    <t>SERVICIO DE ALINEACIÓN, BALANCEO Y MONTAJE DE LLANTAS</t>
  </si>
  <si>
    <t>REPARACIÓN DE SISTEMA DE FRENOS</t>
  </si>
  <si>
    <t>REPARACIÓN DE SUSPENSIÓN</t>
  </si>
  <si>
    <t>SISTEMA DE ENFRIAMIENTO</t>
  </si>
  <si>
    <t>SISTEMA ELECTRICO</t>
  </si>
  <si>
    <t>REPARACIÓN DE SISTEMA DE TRANSMISIÓN</t>
  </si>
  <si>
    <t>PAPEL FAST WAY CARTA C/5000</t>
  </si>
  <si>
    <t>ARCHIVAROR LAFYCARTON CARTA COLORES</t>
  </si>
  <si>
    <t>FOLDER NASSA CREMA CARTA C/100</t>
  </si>
  <si>
    <t>LIBRETA TAQ ESTRELLA 80 HOJAS CORTA</t>
  </si>
  <si>
    <t>CARP SAMSILL 1.5" O PANORAMICA BLANCA</t>
  </si>
  <si>
    <t>PAPEL CARBON STANFFORD 20 ML</t>
  </si>
  <si>
    <t>CORRECTOR EN CINTA BIC 5m</t>
  </si>
  <si>
    <t>ETIQ ADHE JANEL #20 FILE BLANCA</t>
  </si>
  <si>
    <t>CALCULADORA CIENTIFICA CASIO</t>
  </si>
  <si>
    <t>CESTO PARA BASURA METALICO</t>
  </si>
  <si>
    <t>CINTA ADHESIVA TRANSPARENTE C36 PZA</t>
  </si>
  <si>
    <t>AGENDA CURPIEL</t>
  </si>
  <si>
    <t>PAQUETE DE PLUMONES PARA PIZARRON BLANCO PINTARRON COLORES</t>
  </si>
  <si>
    <t>GUILLOTINA MAE-GPO-15</t>
  </si>
  <si>
    <t>TIJERA MAE ESCOLAR MT-5</t>
  </si>
  <si>
    <t>PERFORADORA CANGARO DP-720</t>
  </si>
  <si>
    <t>ENGRAP ELEPHANT #00528 1/2 TIRA</t>
  </si>
  <si>
    <t>CLIP BACO GOTICO #C/100</t>
  </si>
  <si>
    <t>2410200 MINERALES PARA CONSTRUCCIÓN Y REPARACIÓN</t>
  </si>
  <si>
    <t>SACO DE CEMENTO</t>
  </si>
  <si>
    <t>SACO DE MORTERO</t>
  </si>
  <si>
    <t>LADRILLOS</t>
  </si>
  <si>
    <t>CUBETA DE GRABA</t>
  </si>
  <si>
    <t>2420100 CEMENTO Y PRODUCTOS DE CONCRETO</t>
  </si>
  <si>
    <t>24703 PRODUCTOS MINERALES PARA LA CONSTRUCCIÓN</t>
  </si>
  <si>
    <t>ESTRUCTURA PARA SOPORTE DE MALLA SOMBRA</t>
  </si>
  <si>
    <t>ESTRUCTURA PARA SEÑALIZACIÓN DE ANP's</t>
  </si>
  <si>
    <t>CONTENEDORES DE 200 LTS</t>
  </si>
  <si>
    <t>2520100 FERTILIZANTE, PESTICIDAS Y OTROS AGROQUIMICOS</t>
  </si>
  <si>
    <t>RAIZONE PLUS 330 GR</t>
  </si>
  <si>
    <t>TROMPA 450 GR</t>
  </si>
  <si>
    <t>ARBOLSAN 1 LT</t>
  </si>
  <si>
    <t>INSECTICIDA PARA PLAGAS DEL SUELO 20 KG</t>
  </si>
  <si>
    <t>2530100 MEDICINAS Y PRODUCTOS FARMACEUTICOS DE APLICACIÓN HUMANA</t>
  </si>
  <si>
    <t>BOTIQUIN DE PRIMEROS AUXILIOS</t>
  </si>
  <si>
    <t>CAMISOLA DE ALGODÓN PARA BRIGADAS</t>
  </si>
  <si>
    <t>CAMISA BLANCA MANGA LARGA</t>
  </si>
  <si>
    <t>PLAYERA LARGA GRIS</t>
  </si>
  <si>
    <t>CAMISA TIPO POLO AZUL MARINO</t>
  </si>
  <si>
    <t>2720300 MATERIAL DE MANTENIMIENTO PARA SEGURIDAD Y PROTECCIÓN AMBIENTAL</t>
  </si>
  <si>
    <t>GUANTES DE CARNAZA</t>
  </si>
  <si>
    <t>PAR DE BOTAS DE TRABAJO</t>
  </si>
  <si>
    <t>CACHUCHA CON BORDO AL FRENTE</t>
  </si>
  <si>
    <t>CASCO ALA ANCHA</t>
  </si>
  <si>
    <t>2720400 MATERIAL QUIRURJICO Y DE LABORATRIO PARA SEGURIDAD Y PROTECCION PERSONAL</t>
  </si>
  <si>
    <t>MASCARILLA DESECHABLE CONTRA POLVO NO TOXICO</t>
  </si>
  <si>
    <t>MACHETE DE 27"</t>
  </si>
  <si>
    <t>TIJERAS PARA FLORICULTOR</t>
  </si>
  <si>
    <t>RASTRILLO FORESTAL</t>
  </si>
  <si>
    <t>DISCO DURO ADATA HD650 2TB USB3.0</t>
  </si>
  <si>
    <t>SEAGATE DISCO DURO INTERNO 1TB SATA3</t>
  </si>
  <si>
    <t>BOCINAS LOGITECH Z506 SOUND SPEAKERS</t>
  </si>
  <si>
    <t>LLANTAS RIN 16</t>
  </si>
  <si>
    <t>LLANTAS R16 MUD</t>
  </si>
  <si>
    <t>MANTENIMIENTO DE RADIO COMUNICADORES KEENWOOD</t>
  </si>
  <si>
    <t>PZ</t>
  </si>
  <si>
    <t>36101 DIFUSIÓN POR RADIO, TELEVISIÓN Y OTROS MEDIOS DE MENSAJES SOBRE PROGRAMAS Y ACTIVIDADES GUBERNAMENTALES</t>
  </si>
  <si>
    <t>LETRERO IMPRESO DE 2.06X1.84</t>
  </si>
  <si>
    <t>LETRERO IMPRESO DE 3.06X92.0</t>
  </si>
  <si>
    <t>LETRERO IMPRESO DE 3.06X910.0</t>
  </si>
  <si>
    <t>LETRERO IMPRESO DE 1.02X92.0</t>
  </si>
  <si>
    <t>LETRERO IMPRESO DE 61.5X98.0</t>
  </si>
  <si>
    <t>LETRERO IMPRESO DE 2.44X2.44</t>
  </si>
  <si>
    <t>LETRERO IMPRESO DE .22X.35</t>
  </si>
  <si>
    <t>MILLAR DE TRIPTICO TAMAÑO CARTA</t>
  </si>
  <si>
    <t>M2 DE LONA IMPRESA A COLOR</t>
  </si>
  <si>
    <t>51503 EQUIPO DE COMPUTACIÓN</t>
  </si>
  <si>
    <t>LAP TOP HP</t>
  </si>
  <si>
    <t>CUADERNO FORMA ITALIANA RAYA ESCRIBE DE 10 HOJAS</t>
  </si>
  <si>
    <t>SOBRE MANIL RADIOGRAFIA C/25</t>
  </si>
  <si>
    <t>SEPARADOR WILSON JONES P1366 TAMAÑO CARTA</t>
  </si>
  <si>
    <t>PAQUETE SEPARADOR ABECEDARIO</t>
  </si>
  <si>
    <t xml:space="preserve">LIGA DE HULE NATURA VALMAR NUMERO 8 </t>
  </si>
  <si>
    <t>TONER DUAL PACK HP 12A Q 612AD COLOR NEGRO</t>
  </si>
  <si>
    <t xml:space="preserve">TONER IPRESORA MULTIFUNCIONAL </t>
  </si>
  <si>
    <t>CARTUCHO DE TINTA 73HN COLOR</t>
  </si>
  <si>
    <t>USB 32 GB</t>
  </si>
  <si>
    <t>TONER CANON 120 NEGRO</t>
  </si>
  <si>
    <t>CARTUCHO EPSON 215 NEGRO</t>
  </si>
  <si>
    <t>CARTUCHO EPSON TRICOLOER</t>
  </si>
  <si>
    <t>SERVILETS MEMBER'S</t>
  </si>
  <si>
    <t>SURTIDO DE MEDICINA DE PATENTE</t>
  </si>
  <si>
    <t>REGISTRADOR DE CARTON MARMOLEADO CLASICO CARTA ARILLO EN O DE 2 PULGADAS COLOR VERDE KYMA KYVJ</t>
  </si>
  <si>
    <t>pieza</t>
  </si>
  <si>
    <t> $              32 </t>
  </si>
  <si>
    <t> $                 4,547 </t>
  </si>
  <si>
    <t>REGISTRADOR DE CARTON MARMOLEADO CLASICO OFICIO ARILLO EN O DE 3 PULGADAS COLOR VERDE KYMA KYOF</t>
  </si>
  <si>
    <t> $              38 </t>
  </si>
  <si>
    <t> $                 5,327 </t>
  </si>
  <si>
    <t>DESPACHADOR PARA CINTA GRANDE JANEL ESCRI65 DE PLASTICO</t>
  </si>
  <si>
    <t> $              79 </t>
  </si>
  <si>
    <t> $                 1,499 </t>
  </si>
  <si>
    <t>PERFORADORA ACCO P1428 ORIFICIOS 2 DE ACERO</t>
  </si>
  <si>
    <t>PORTACLIP DESPACHADOR ACRIMET DE POLIESTIRENO CON IMAN COLOR HUMO 936</t>
  </si>
  <si>
    <t>AGENDA EJECUTIVA MOD. ECONOMICA</t>
  </si>
  <si>
    <t>CRAYON CRAYOLA ESTANDAR COLOR SURTIDO FORMA REDONDO CAJA CON 12 PIEZAS</t>
  </si>
  <si>
    <t>MARCADOR PERMANENTE SHARPIE ESTERBROOK 119353 COLOR NEGRO</t>
  </si>
  <si>
    <t>TABLA SUJETAPAPEL KYMA MACCTA TAMAÑO CARTA DE MADERA CON BROCHE CROMADO</t>
  </si>
  <si>
    <t>LAPICERO ZEBRA Z TAP MEDIDA 0.7 MM</t>
  </si>
  <si>
    <t>PUNTILLAS ZEBRA DE GRAFITO NÚMERO 0.7 MM 1 TUBO CON 12 PUNTILLAS</t>
  </si>
  <si>
    <t>BROCHE DE 8 CM METALICO BACO B082 1 CAJA CON 50 PIEZAS</t>
  </si>
  <si>
    <t>REGLA DELTA DE 30CM METALICA DE ALUMINIO</t>
  </si>
  <si>
    <t>COJIN PARA SELLO STAFFORD SIN COLOR, SIN TINTA TAMAÑO GRANDE 10.2 X 18CM</t>
  </si>
  <si>
    <t>TINTA PARA SELLO NEGRA STAFFORD GIRAPLICA CONTENIDO 60 ML</t>
  </si>
  <si>
    <t>DESENGRAPADOR DE TRABAJO PESADO ACCO P6265 TIRA COMPLETA UTILIZA GRAPA ESTÁNDAR</t>
  </si>
  <si>
    <t>CUENTA FACIL BLISTER CON 2 PIEZAS</t>
  </si>
  <si>
    <t>SACAPUNTAS MANUAL STP07 BARRILITO , DE METAL</t>
  </si>
  <si>
    <t>GOMA BLANCA FACTIS S20 DE MIGAJON CAJA CON 20 PIEZAS</t>
  </si>
  <si>
    <t>CUTTER AZOR CORTY PUNTA DE FLECHA 5000 TAMAÑO 18 MM COLOR GRIS</t>
  </si>
  <si>
    <t>PORTALAPICES AZOR 3106HU COLOR HUMO DE ACRILICO 1 PIEZA</t>
  </si>
  <si>
    <t>PERFORADORA SWINGLINE ACCO P5416 ORIFICIOS 3 metal</t>
  </si>
  <si>
    <t>ORGANIZADOR PARA DOCUMENTOS OXFORD NEGRO DE PLASTICO </t>
  </si>
  <si>
    <t>ORGANIZADOR DE ESCRITORIO ACRIMET DE POLIESTIRENO COLOR NEGRO COMPARTIMIENTOS CON VARIAS DIVISIONES</t>
  </si>
  <si>
    <t>LAPIZ ADHESIVO KORES BARRA DE 40</t>
  </si>
  <si>
    <t>DESPACHADOR DE NOTAS STYLE POST-IT PLASTICO PARA OFICINA 7.6 CM X 7.6 CM PARA NOTAS ADHESIVAS POST-IT DE 7.6X 7.6 CM</t>
  </si>
  <si>
    <t>MARCADOR DETECTOR DE BILLETES FALSOS AZOR CHECK IT COLOR AMARILLO</t>
  </si>
  <si>
    <t>MEDICAMENTOS</t>
  </si>
  <si>
    <t>CAMISOLAS PARA GUARDABOSQUES</t>
  </si>
  <si>
    <t>PANTALON TIPO VAQUERO EN MEZCLILLA</t>
  </si>
  <si>
    <t>CHAMARRA</t>
  </si>
  <si>
    <t>GOOGLES ANTIMPAÑANTES</t>
  </si>
  <si>
    <t>LAMPARA MANOS LIBRES</t>
  </si>
  <si>
    <t>PILA SECA</t>
  </si>
  <si>
    <t>PIEDRA DE AFILAR</t>
  </si>
  <si>
    <t>LIMA DE TRIANGULO</t>
  </si>
  <si>
    <t>29107 Equipo y materiales menores de mantenimiento y seguridad</t>
  </si>
  <si>
    <t>IMPORTE    TOTAL</t>
  </si>
  <si>
    <t>S/N</t>
  </si>
  <si>
    <t>Mochila aspesora tipo indian</t>
  </si>
  <si>
    <t>Pzas</t>
  </si>
  <si>
    <t>Antorcha de goteo</t>
  </si>
  <si>
    <t>LOTE DE AUTOPARTES SEGÚN REQUIERE</t>
  </si>
  <si>
    <t>54101 Vehiculos y equipos terrestres.</t>
  </si>
  <si>
    <t>Vehiculo 4x4 todo Terreno</t>
  </si>
  <si>
    <t>54901 Otros equipos de transporte</t>
  </si>
  <si>
    <t>Cuatrimoto</t>
  </si>
  <si>
    <t>56502 Equipo de Comunicación</t>
  </si>
  <si>
    <t>Radio Portatil</t>
  </si>
  <si>
    <t>THONER PARA IMPRESORA</t>
  </si>
  <si>
    <t>MODULOS DE PLASTICO</t>
  </si>
  <si>
    <t>MATERIAL DE LIMPIEZA EN GENERAL</t>
  </si>
  <si>
    <t>PAQUETES</t>
  </si>
  <si>
    <t>23701 PRODUCTOS PARA SERVICIOS GENERALES ADQUIRIDOS COMO MATERIA PRIMA</t>
  </si>
  <si>
    <t>ISLAS DE TRES CONTENEDORES PARA SEPARACIÓN DE RESIDUOS (CESTO)</t>
  </si>
  <si>
    <t>PIEZAS</t>
  </si>
  <si>
    <t>SUB-TOTAL</t>
  </si>
  <si>
    <t>25502 PRODUCTOS MINERALES UTILIZADOS EN LABORATORIOS</t>
  </si>
  <si>
    <t>KIT DE CONSUMIBLES Y REFACCIONES PARA ANALIZADORES BAM 1020 PM 2.5, BAM 1020 PM10, NOX T200, SO2 T100, CO T300, 03 T400.</t>
  </si>
  <si>
    <t>KIT</t>
  </si>
  <si>
    <t>DEPOSITOS DE PILAS PARA ACOPIO Y RECICLAJE</t>
  </si>
  <si>
    <t>PROCESADOR CPU-INTEL CORE I5-444O HASWELL S-1150 3.1 GHZ 6 MB CORES 84W 22NM</t>
  </si>
  <si>
    <t>DISCO DURO SEAGATE BARRACUDA 3.5 2 TB SATA3 64 MB P/PC</t>
  </si>
  <si>
    <t>TARJETA MADRE MB-735 MB-GIGABYTE GA-Z97-HD3 S-1150 C/AUDIO/RED DDR3 2933/1600/1333 MHZ/USB 3.0/ATX</t>
  </si>
  <si>
    <t>LLANTAS 175/R13</t>
  </si>
  <si>
    <t>31101  ENERGÍA ELÉCTRICA</t>
  </si>
  <si>
    <t>CONSUMO DE ENERGIA ELECRTICA PARA LA ESTACION DE MONITOREO ATMOSFERICO UBICADA EN CALLE ACACIA # 189, COLONIA SAN JUAN, TEPIC, NAYARIT, MÉXICO, CÓDIGO POSTAL 63130.</t>
  </si>
  <si>
    <t>PAGO</t>
  </si>
  <si>
    <t>SERVICIO DE INTERNET PARA LAS CASETAS DE MONITOREO UBICADAS  EN EL ITT Y LA EPJGM</t>
  </si>
  <si>
    <t>32201 ARRENDAMIENTO DE EDIFICIOS</t>
  </si>
  <si>
    <t>ARRENDAMIENTO DE BODEGA</t>
  </si>
  <si>
    <t>32302 ARRENDAMIENTO DE MOBILIARIO</t>
  </si>
  <si>
    <t>ARRENDAMIENTO DE EQUIPO DE IMPRESIÓN</t>
  </si>
  <si>
    <t>MANTENIMIENTO/AFINACION</t>
  </si>
  <si>
    <t>MANTENIMIENTO/FRENOS</t>
  </si>
  <si>
    <t>TRÍPTICOS</t>
  </si>
  <si>
    <t>MILLAR</t>
  </si>
  <si>
    <t>CARPETAS PARA ENTREGA DE RESOLUTIVOS</t>
  </si>
  <si>
    <t>CIENTO</t>
  </si>
  <si>
    <t>VUELOS ADISTINTAS PARTES DE LA REPUBLICA</t>
  </si>
  <si>
    <t>VUELOS</t>
  </si>
  <si>
    <t>51107  MOBILIARIO Y EQUIPO</t>
  </si>
  <si>
    <t>ARCHIVERO MOD CORINTO DE 3 GAVETAS FABRICADO EN MELAMINA DE 28MM EN COSTADOS Y CUBIERTA, CAJONES EN MELAMINA DE 16MM CON CHAPA Y JALADERAS METALICAS TIPO ARCO TAMAÑO OFICIO</t>
  </si>
  <si>
    <t>ADQUISICION DE EQUIPO DECOMPUTO</t>
  </si>
  <si>
    <t>CARTUCHO HP 3320</t>
  </si>
  <si>
    <t>TONER 11A HP</t>
  </si>
  <si>
    <t>CARTUCHO HP 3940</t>
  </si>
  <si>
    <t>TONER LASER 1010</t>
  </si>
  <si>
    <t>ROLLO FAX</t>
  </si>
  <si>
    <t>25102 SUSTANCIAS Y PRODUCTOS QUIMICOS BASICOS</t>
  </si>
  <si>
    <t>s/c</t>
  </si>
  <si>
    <t>NITROGENO</t>
  </si>
  <si>
    <t>CARGAS</t>
  </si>
  <si>
    <t>ADITIVO PARA INCEMINACION</t>
  </si>
  <si>
    <t>25401 ARTICULOS PARA SERVICIOS GENERLES EN EL AREA MEDICA</t>
  </si>
  <si>
    <t>GERINGA PARA INSULINA</t>
  </si>
  <si>
    <t>MEDICINA DE PATENTE</t>
  </si>
  <si>
    <t>CAJAS</t>
  </si>
  <si>
    <t>ANTIBIOTICOS</t>
  </si>
  <si>
    <t>MEDICAMENTO</t>
  </si>
  <si>
    <t>25901 OTRAS SUSTANCIAS Y PRODUCTOS QIMICOS</t>
  </si>
  <si>
    <t>DOSIS DE TUBERCULINA PARA BOVINOS</t>
  </si>
  <si>
    <t>DOSIS</t>
  </si>
  <si>
    <t>ALTERNDOR</t>
  </si>
  <si>
    <t>CABLES PASA CORRIENTE</t>
  </si>
  <si>
    <t>UNIDAD/ FAROS</t>
  </si>
  <si>
    <t>CPU</t>
  </si>
  <si>
    <t>BOSINAS</t>
  </si>
  <si>
    <t>REGULADOR</t>
  </si>
  <si>
    <t>BOMBA</t>
  </si>
  <si>
    <t>BALATAS</t>
  </si>
  <si>
    <t>ROTORES</t>
  </si>
  <si>
    <t>LIQUIDO DE FRENOS</t>
  </si>
  <si>
    <t>FILTRO</t>
  </si>
  <si>
    <t>ROTULAS</t>
  </si>
  <si>
    <t>ACUMULADOR</t>
  </si>
  <si>
    <t>SILENCIADOR</t>
  </si>
  <si>
    <t>33102 OTRAS ASESORIAS PARA LA OPERACIÓN DE PROGRAMAS</t>
  </si>
  <si>
    <t>SERVICIOS OPERATIVOS CONVENIDOS</t>
  </si>
  <si>
    <t>SERVICIOS</t>
  </si>
  <si>
    <t>33901 SUBCONTRATACION DE SERVICIOS CON TERCEROS</t>
  </si>
  <si>
    <t>DIAGNOSTICO DE LABORATORIO</t>
  </si>
  <si>
    <t>DIAGNOSTICOS</t>
  </si>
  <si>
    <t>34101 COMISIONES BANACARIAS</t>
  </si>
  <si>
    <t>COMICIONES BANCARIAS</t>
  </si>
  <si>
    <t>MANTENIMIENTO Y CONSERVACION DE INMUEBLES PARA LA PRESENTACION DE SERVICIOS PUBLICOS</t>
  </si>
  <si>
    <t>INSTALACION, REPARACION Y MANTENIMIENTO DE EQUIPO DE COMPUTO Y TECNOLOGIA DE LA INFORMACION</t>
  </si>
  <si>
    <t>REPARACION Y MANTENIMIENTO DE EQUIPO DE TRANSPORTE</t>
  </si>
  <si>
    <t>PASAJE AEREO REDONDO</t>
  </si>
  <si>
    <t>PASAJES TERRESTES</t>
  </si>
  <si>
    <t>37501 VIATICOS EN EL PAIS</t>
  </si>
  <si>
    <t>VIATICOS SIN PERNOCTAR ZONA BARATA</t>
  </si>
  <si>
    <t>PERSONAL</t>
  </si>
  <si>
    <t>VIATICOS SIN PERNOCTAR ZONA CARA</t>
  </si>
  <si>
    <t xml:space="preserve">VIATICOS PERNOCTANDO ZONA BARATA </t>
  </si>
  <si>
    <t>VIATICOS PERNOCTANDO ZONA CARA</t>
  </si>
  <si>
    <t>43101 SUBCIDIOS A LA PRODUCCION</t>
  </si>
  <si>
    <t>SUBSIDIOS A LA PRODUCCION</t>
  </si>
  <si>
    <t>Perforadora 2 orificios</t>
  </si>
  <si>
    <t>Pluma bic p. mediano negro</t>
  </si>
  <si>
    <t>Lapiz grafito</t>
  </si>
  <si>
    <t>Cinta MC-TUCK de plastico</t>
  </si>
  <si>
    <t xml:space="preserve">Cinta adhesiva </t>
  </si>
  <si>
    <t xml:space="preserve">21503 MATERIAL DE COMUNICACIÓN </t>
  </si>
  <si>
    <t xml:space="preserve">        s/c</t>
  </si>
  <si>
    <t>Estructuras para montar los letreros de resultados de  el monitoreos de las playas, Programas, restricciones y sugerencias.</t>
  </si>
  <si>
    <t>Minerales para limpieza</t>
  </si>
  <si>
    <t xml:space="preserve">33401 SERVICIOS DE CAPACITACION </t>
  </si>
  <si>
    <t>Asesorias tecnicas para la elaboracion del expediente tecnico y proceso de certificacion de las playas.</t>
  </si>
  <si>
    <t xml:space="preserve">33902 PROYECTOS PARA PRESTACION DE SRVICIOS </t>
  </si>
  <si>
    <t>Certificados de playas</t>
  </si>
  <si>
    <t>3600 SERVICIOS DE COMUNICACIÓN SOCIAL Y PUBLICIDAD</t>
  </si>
  <si>
    <t>Difusion de television Spoteo en noticieros 30"</t>
  </si>
  <si>
    <t xml:space="preserve">Difusion de television Spoteo en noticieros 20" </t>
  </si>
  <si>
    <t>Impresión de Letreros de vinil de medida 59 cms X 70 cms</t>
  </si>
  <si>
    <t>Impresión de Letreros de vinil de medida 61.5 cms X 98 cms</t>
  </si>
  <si>
    <t>Impresión de Letreros de vinil de medida 42 cms X 50 cms</t>
  </si>
  <si>
    <t>Impresión de Letreros de vinil de medida 32 cms X 50 cms</t>
  </si>
  <si>
    <t>Impresión de Letreros de trovicel de medida 90 cms X 110 cms</t>
  </si>
  <si>
    <t>Impresión de vinil impreso en trovisel de medida 49mts X 47mts.</t>
  </si>
  <si>
    <t>Impresión de Lona impresa de medida 32 cms X 42 cms</t>
  </si>
  <si>
    <t>3220100 ARRENDAMIENTO DE EDIFICIOS</t>
  </si>
  <si>
    <t>BODEGA  DE LA DIRECCION DE PESCA</t>
  </si>
  <si>
    <t>BODEGA PARA ARCHIVO SRIA DESARROLLO RURAL</t>
  </si>
  <si>
    <t>SECRETARIA DE DESARROLLO RURAL Y MEDIO AMBIENTE (ALLENDE)</t>
  </si>
  <si>
    <t>OFICINAS SECRETARIA DE DESARROLLO RURAL Y MEDIO AMBIENTE (JACARANDAS)</t>
  </si>
  <si>
    <t>RENTAS CONSIDERADAS POR FINANZAS</t>
  </si>
  <si>
    <t>TONER NEGRO HP CC364A</t>
  </si>
  <si>
    <t>TONER PARA IMPRESORA H.P. 1022</t>
  </si>
  <si>
    <t>22104 PRODUCTOS AGRÍCOLAS PARA ALIMENTACIÓN DE PERSONAS</t>
  </si>
  <si>
    <t>CEREALES</t>
  </si>
  <si>
    <t>SEMILLAS</t>
  </si>
  <si>
    <t>HORTALIZAS</t>
  </si>
  <si>
    <t>FRUTAS</t>
  </si>
  <si>
    <t>ALIMENTOS ENLATADOS</t>
  </si>
  <si>
    <t>VARIOS</t>
  </si>
  <si>
    <t>CAFÉ</t>
  </si>
  <si>
    <t>BEBIDAS</t>
  </si>
  <si>
    <t>GALLETAS</t>
  </si>
  <si>
    <t>PRODUCTOS LACTEOS</t>
  </si>
  <si>
    <t xml:space="preserve">PAN </t>
  </si>
  <si>
    <t>PASTAS</t>
  </si>
  <si>
    <t>22106 PRODUCTOS DE ANIMALES INDUSTRIALIZABLES</t>
  </si>
  <si>
    <t>HUEVO</t>
  </si>
  <si>
    <t>KILOS</t>
  </si>
  <si>
    <t>MIEL</t>
  </si>
  <si>
    <t>22204 PRODUCTOS DIVERSOS PARA ALIMENTACIÓN DE ANIMALES</t>
  </si>
  <si>
    <t>ALIMENTO BALANCEADO PARA PECES</t>
  </si>
  <si>
    <t>TONELADA</t>
  </si>
  <si>
    <t>ALIMENTO BALANCEADO PARA PECES (HORMONADO)</t>
  </si>
  <si>
    <t>VAJILLA</t>
  </si>
  <si>
    <t>LICUADORA</t>
  </si>
  <si>
    <t>BATERIA DE COCINA</t>
  </si>
  <si>
    <t>23705 PRODUCTOS DE PLÁSTICO Y POLIETILENO ADQUIRIDOS COMO MATERIA PRIMA</t>
  </si>
  <si>
    <t>ROLLO DE PLASTICO PARA INVERNADERO DE 2 METROS DE ALTO O SUPERIOR</t>
  </si>
  <si>
    <t>CABO DE POLIETILENO DISTINTAS MEDIDAS</t>
  </si>
  <si>
    <t>23902 OTROS ARTÍCULOS PARA SERVICIOS GENERALES ADQUIRIDOS COMO MATERIA PRIMA</t>
  </si>
  <si>
    <t>RED CHARALERA DE 15X15 MM</t>
  </si>
  <si>
    <t>RED DE PESCA TIPO ATARRAYA (VARIAS MEDIDAS)</t>
  </si>
  <si>
    <t>RED RACHEL DE 1 1/2"</t>
  </si>
  <si>
    <t>RED NYLON MULTIFILAMENTO DE 2"</t>
  </si>
  <si>
    <t>24301 CAL, YESO Y PRODUCTOS DE YESO</t>
  </si>
  <si>
    <t>CAL</t>
  </si>
  <si>
    <t>SACO</t>
  </si>
  <si>
    <t>24503 PRODUCTOS DE VIDRIO Y CRISTAL</t>
  </si>
  <si>
    <t>FIBRA DE VIDRIO</t>
  </si>
  <si>
    <t>METROS</t>
  </si>
  <si>
    <t>CENTRO DE CARGA TRIFASICO</t>
  </si>
  <si>
    <t>TABLERO DE CONTROL ELECTRONICO</t>
  </si>
  <si>
    <t>AISLANTES</t>
  </si>
  <si>
    <t>CLAVIJA MACHO Y HEMBRA</t>
  </si>
  <si>
    <t>FOCO</t>
  </si>
  <si>
    <t>FUSIBLE</t>
  </si>
  <si>
    <t>CABLE TW 8</t>
  </si>
  <si>
    <t>24701 ACCESORIOS Y MATERIAL ELÉCTRICO PARA LA CONSTRUCCIÓN</t>
  </si>
  <si>
    <t>BALASTRAS</t>
  </si>
  <si>
    <t>FOTOCELDAS</t>
  </si>
  <si>
    <t>BRAZO DE LAMPARA</t>
  </si>
  <si>
    <t>24702 ACCESORIOS Y MATERIAL ELÉCTRICO PARA LA CONSTRUCCIÓN</t>
  </si>
  <si>
    <t>BROCAS</t>
  </si>
  <si>
    <t>TINACOS</t>
  </si>
  <si>
    <t>HERRAJES</t>
  </si>
  <si>
    <t>TORNILLOS, TUERCAS</t>
  </si>
  <si>
    <t xml:space="preserve">TUBO GALVANIZADO </t>
  </si>
  <si>
    <t>TRAMO</t>
  </si>
  <si>
    <t>PLOMO</t>
  </si>
  <si>
    <t>POSTES METALICOS</t>
  </si>
  <si>
    <t>TORRES METALICAS</t>
  </si>
  <si>
    <t>24803 PRODUCTOS COMPLEMENTARIOS DE PAPEL Y DE HULE</t>
  </si>
  <si>
    <t>LAMINAS DE POLICARBONATO</t>
  </si>
  <si>
    <t>TUBERIAS DE PVC HIDRAULICO</t>
  </si>
  <si>
    <t>VALVULAS DE PVC</t>
  </si>
  <si>
    <t>MANGUERA VARIAS MEDIDAS</t>
  </si>
  <si>
    <t>METRO</t>
  </si>
  <si>
    <t>MANGUERA MICROPOROSA P/AIRE O DIFUSORA DE 1/2"</t>
  </si>
  <si>
    <t xml:space="preserve">MANGUERA INDUSTRIAL CRISTALINA DE 1/4" , 1/8" Y  3/16"  </t>
  </si>
  <si>
    <t>ROLLO</t>
  </si>
  <si>
    <t>BOYAS</t>
  </si>
  <si>
    <t>VALVULAS MANIFOLDS DE PLASTICO DE 4 SALIDAS</t>
  </si>
  <si>
    <t>ABRAZADERA</t>
  </si>
  <si>
    <t>BROCHA</t>
  </si>
  <si>
    <t>CINTA TEFLON</t>
  </si>
  <si>
    <t>IMPERMEABILIZANTE</t>
  </si>
  <si>
    <t>LITROS</t>
  </si>
  <si>
    <t>LIJA</t>
  </si>
  <si>
    <t>HOJA</t>
  </si>
  <si>
    <t xml:space="preserve">PINTURA </t>
  </si>
  <si>
    <t>THINER</t>
  </si>
  <si>
    <t xml:space="preserve">SAL DE GRANO </t>
  </si>
  <si>
    <t>SACOS</t>
  </si>
  <si>
    <t>OXIGENO INDUSTRIAL</t>
  </si>
  <si>
    <t>TANQUE</t>
  </si>
  <si>
    <t>RESINA</t>
  </si>
  <si>
    <t>CATALIZADOR</t>
  </si>
  <si>
    <t>RESISTOL 5000</t>
  </si>
  <si>
    <t>25303 SUSTANCIAS Y PRODUCTOS QUIMICOS BASICOS</t>
  </si>
  <si>
    <t>OXITETRACICLINA</t>
  </si>
  <si>
    <t>AZUL DE METILENO</t>
  </si>
  <si>
    <t>FRASCO</t>
  </si>
  <si>
    <t>PERMANGANATO DE POTASIO 500 GRAMOS</t>
  </si>
  <si>
    <t>25501 MATERIAL QUIRÚRGICO Y DE LABORATORIO</t>
  </si>
  <si>
    <t>PIEDRA DIFUSORA  (VARIAS MEDIDAS)</t>
  </si>
  <si>
    <t>POTENCIÓMETRO</t>
  </si>
  <si>
    <t>REPUESTO PARA OXIMETRO</t>
  </si>
  <si>
    <t>JUEGO</t>
  </si>
  <si>
    <t>MEDIDOR DE PH</t>
  </si>
  <si>
    <t>TERMÓMETRO PARA LABORATORIO</t>
  </si>
  <si>
    <t>25601 FIBRAS SINTÉTICAS, HULES, PLÁSTICOS Y DERIVADOS</t>
  </si>
  <si>
    <t>BOLSA DE PLASTICO</t>
  </si>
  <si>
    <t>ADAPTADOR MACHO PVC (VARIAS MEDIDAS)</t>
  </si>
  <si>
    <t>CODO PVC (VARIAS MEDIDAS)</t>
  </si>
  <si>
    <t>COPLE PVC (VARIAS MEDIDAS)</t>
  </si>
  <si>
    <t>TAPON PVC (VARIAS MEDIDAS)</t>
  </si>
  <si>
    <t>TEE PVC (VARIAS MEDIDAS)</t>
  </si>
  <si>
    <t>ESPUMA DE POLIURETANO</t>
  </si>
  <si>
    <t>YEE PVC (VARIAS MEDIDAS)</t>
  </si>
  <si>
    <t>PIOLA NYLON MULTIFILAMENTO T Y T</t>
  </si>
  <si>
    <t>27206 PRODUCTOS TEXTILES PARA SEGURIDAD Y PROTECCIÓN PERSONAL</t>
  </si>
  <si>
    <t>BOTAS PANTALONERAS</t>
  </si>
  <si>
    <t>BOTAS DE HULE</t>
  </si>
  <si>
    <t>IMPERMEABLES</t>
  </si>
  <si>
    <t>PUNTAS DE DESARMADOR</t>
  </si>
  <si>
    <t>LLAVES PARA TUERCAS DISTINTAS MEDIDAS</t>
  </si>
  <si>
    <t>TALADRO DE ALTO IMPACTO</t>
  </si>
  <si>
    <t>ESMERIL DE BANCO</t>
  </si>
  <si>
    <t>LIMATÓN</t>
  </si>
  <si>
    <t>NAVAJA PARA SIERRA CALADORA ELÉCTRICA</t>
  </si>
  <si>
    <t>SEGUETA (REPUESTO PARA ARCO)</t>
  </si>
  <si>
    <t>PIEDRAS PARA AFILAR</t>
  </si>
  <si>
    <t>RASTRILLOS</t>
  </si>
  <si>
    <t>BIELDOS</t>
  </si>
  <si>
    <t>RASTRILLO ARAÑA DE METAL</t>
  </si>
  <si>
    <t>FILTROS DE AIRE</t>
  </si>
  <si>
    <t>FILTROS DE ACEITE</t>
  </si>
  <si>
    <t>FILTROS DE GASOLINA</t>
  </si>
  <si>
    <t>CRUCETAS</t>
  </si>
  <si>
    <t xml:space="preserve">ROTULAS </t>
  </si>
  <si>
    <t>BALEROS</t>
  </si>
  <si>
    <t>HOJAS LIMPIA PARABRISAS</t>
  </si>
  <si>
    <t>PAQUETE</t>
  </si>
  <si>
    <t>LLANTAS</t>
  </si>
  <si>
    <t>RENTA DE IMPRESORA</t>
  </si>
  <si>
    <t>PAGO DE SERVICIOS PROFESIONALES PARA ELABORACIÓN DE MIAS Y PROYECTOS EJECUTIVOS</t>
  </si>
  <si>
    <t>33604 IMPRESIÓN Y ELABORACIÓN DE MATERIAL INFORMATIVO DERIVADO DE LA OPERACIÓN Y ADMINISTRACIÓN DE LOS ENTES PÚBLICOS</t>
  </si>
  <si>
    <t>SERVICIO DE IMPRESIÓN Y ELABORACIÓN DE MATERIAL INFORMATIVO</t>
  </si>
  <si>
    <t>FLETES</t>
  </si>
  <si>
    <t>35401 INSTALACIÓN, REPARACIÓN Y MANTENIMIENTO DE EQUIPO E INSTRUMENTAL MÉDICO Y DE LABORATORIO</t>
  </si>
  <si>
    <t>REPARACION Y MANTENIMIENTO DE EQUIPO DE LABORATORIO</t>
  </si>
  <si>
    <t>MANTENIMIENTO DE VEHICULOS</t>
  </si>
  <si>
    <t>SERVICIO MAYOR</t>
  </si>
  <si>
    <t>MANTENIMIENTO DE MOTORES FUERA DE BORDA</t>
  </si>
  <si>
    <t xml:space="preserve">MANTENIMIENTO DE EMBARCACIONES </t>
  </si>
  <si>
    <t>SERVICIOS DE REPARACION</t>
  </si>
  <si>
    <t>39202 OTROS IMPUESTOS Y DERECHOS</t>
  </si>
  <si>
    <t>PAGO DE DERECHOS, PERMISOS Y CONCESIONES</t>
  </si>
  <si>
    <t>41901 TRANSFERENCIAS INTERNAS OTORGADAS A FIDEICOMISOS PÚBLICOS FINANCIEROS ESTATALES</t>
  </si>
  <si>
    <t>PROYECTO DE MODERNIZACIÓN DE EMBARCACIONES MENORES</t>
  </si>
  <si>
    <t>PAPEL CARBON</t>
  </si>
  <si>
    <t>SEPARADOR COLORINDEX CTA C/10DIV</t>
  </si>
  <si>
    <t>BLOCK STICK 3*3 21013 CUBO PASTEL</t>
  </si>
  <si>
    <t>CAJA DE ARCHIVO MUERTO T/O</t>
  </si>
  <si>
    <t>CAJA DE ARCHIVO MUERTO T/C</t>
  </si>
  <si>
    <t>ARCHIVADOR LAFICARTON CARTA</t>
  </si>
  <si>
    <t>ARCHIVADOR LAFICARTON CTA COLORES</t>
  </si>
  <si>
    <t>2110700 PIGMENTOS O COLORANTES PARA USO EN OFICNAS</t>
  </si>
  <si>
    <t>TINTA PARA SELLOS</t>
  </si>
  <si>
    <t>PAPEL P/PLOTTER MARCA HP</t>
  </si>
  <si>
    <t>2120400 PRODUCTIOS DE PAPEL Y HULE PARA USO EN IMPRESIÓN Y REPRODUCCION</t>
  </si>
  <si>
    <t>TONER NEGRO MARCA HP P/IMP P3035 N/P CE505A</t>
  </si>
  <si>
    <t>REPARACION DE OFICINA CON TABLAROCA</t>
  </si>
  <si>
    <t>CAMISETA TIPO POLO ESTAMPADA</t>
  </si>
  <si>
    <t>CAMISA MANGA LARGA ESTAMPADA</t>
  </si>
  <si>
    <t>GORRA CON VENTILACION, CINTA DE AJUSTE Y BORDADO</t>
  </si>
  <si>
    <t>CHALECOS</t>
  </si>
  <si>
    <t>RENTA DE FOTOCOPIADORA MULTIFUNCIONAL</t>
  </si>
  <si>
    <t xml:space="preserve">CURSO TALLER EN MATERIA DE LEGISLACION AMBIENTAL </t>
  </si>
  <si>
    <t>3360200 OTROS SERVICIOS COMERCIALES</t>
  </si>
  <si>
    <t>EMICADO CARTA DLC</t>
  </si>
  <si>
    <t>ENGARGOLADO DE 201 A 240 H</t>
  </si>
  <si>
    <t>COMPRA DE REFACCIONES Y MANO DE OBRA</t>
  </si>
  <si>
    <t>M2 DE LONA</t>
  </si>
  <si>
    <t>VINIL IMPRESO DE MED.. 16X30CMS (CLAUSURADO)</t>
  </si>
  <si>
    <t>1 MILLAR DE IMPRESIÓN DE TRIPTICO T/C</t>
  </si>
  <si>
    <t>IMPRESIÓN DE FOLDER EJECUTIVO T/C</t>
  </si>
  <si>
    <t>3830100 CONGRESOS Y CONVENCIONES</t>
  </si>
  <si>
    <t>REALIZAR CONGRESO</t>
  </si>
  <si>
    <t>SERV</t>
  </si>
  <si>
    <t xml:space="preserve">INSUMOS AGRICOLAS </t>
  </si>
  <si>
    <t>P.G.</t>
  </si>
  <si>
    <t>34501 SEGURO DE BIENES PATRIMONIALES</t>
  </si>
  <si>
    <t>SEGURO AGROPECUARIO CATASTROFICO</t>
  </si>
  <si>
    <t>ESTATAL</t>
  </si>
  <si>
    <t>FEDERAL</t>
  </si>
  <si>
    <t>Recopilador lefort t/carta</t>
  </si>
  <si>
    <t>pza</t>
  </si>
  <si>
    <t>Recopilador lefort t/Oficio</t>
  </si>
  <si>
    <t>Porta Cinta</t>
  </si>
  <si>
    <t xml:space="preserve">Boligrafo Bic Diamente P. Mediano </t>
  </si>
  <si>
    <t>Sellos</t>
  </si>
  <si>
    <t>Porta Papeles</t>
  </si>
  <si>
    <t>Porta Minas 0.5</t>
  </si>
  <si>
    <t>Puntillas 0.5</t>
  </si>
  <si>
    <t xml:space="preserve">LIBRETA TAQUIGRAFIA </t>
  </si>
  <si>
    <t>CUBOS NEON MEMO TIP 3X3</t>
  </si>
  <si>
    <t>SOBRE MANILA CARTA</t>
  </si>
  <si>
    <t>SOBRE MANILA OFICIO</t>
  </si>
  <si>
    <t>LIGA DE HUELE NATURAL DELGADA</t>
  </si>
  <si>
    <t>21201 MATERIALES PARA IMPRESIÓN Y REPRODUCCIÓN</t>
  </si>
  <si>
    <t>TORRES CD'S</t>
  </si>
  <si>
    <t>MEMORIA INTERNA PARA CAMARA</t>
  </si>
  <si>
    <t>ADAPTADOR PARA MEMORIA INTERNA</t>
  </si>
  <si>
    <t>TARJETA RED</t>
  </si>
  <si>
    <t>PANTALLA PORTATIL PARA PROYECCION</t>
  </si>
  <si>
    <t>SUBTOTAL</t>
  </si>
  <si>
    <t>TONER CE278A IMPRESORA HP LASER JET P1606DN</t>
  </si>
  <si>
    <t>TONER CE285A IMPRESORA HP LASER JET P1102W</t>
  </si>
  <si>
    <t>TONER Q2612A IMPRESORA HP LASER JET 1018</t>
  </si>
  <si>
    <t>ACIETE LIMPIADOR PARA MUEBLES</t>
  </si>
  <si>
    <t>AROMATIZANTE DE AMBIENTE Y/O NEUTRALIZADOR DE AROMAS</t>
  </si>
  <si>
    <t xml:space="preserve">BLANQUEDOR </t>
  </si>
  <si>
    <t>DESODORANTE PARA WC</t>
  </si>
  <si>
    <t>SHAMPOO PARA MANOS</t>
  </si>
  <si>
    <t xml:space="preserve">BOTELLA DE AGUA </t>
  </si>
  <si>
    <t>MEDICINAS DE PATENTE</t>
  </si>
  <si>
    <t>P.G</t>
  </si>
  <si>
    <t>BIOMETRIA HEMATICA (COMPLETA)</t>
  </si>
  <si>
    <t>RAYOS X</t>
  </si>
  <si>
    <t>FISIOTERAPIA</t>
  </si>
  <si>
    <t>MOUSE OPTICO</t>
  </si>
  <si>
    <t>MEMORIA USB 16 GB KINGSTON</t>
  </si>
  <si>
    <t xml:space="preserve">TECLADO </t>
  </si>
  <si>
    <t>AUDIFONOS</t>
  </si>
  <si>
    <t>GABINETE CPU</t>
  </si>
  <si>
    <t xml:space="preserve">MOTOR DE ARRANQUE    </t>
  </si>
  <si>
    <t xml:space="preserve">ALTERNADOR </t>
  </si>
  <si>
    <t xml:space="preserve">BUJIAS </t>
  </si>
  <si>
    <t xml:space="preserve">CABLES PARA CORRIENTE       </t>
  </si>
  <si>
    <t xml:space="preserve">FAROS </t>
  </si>
  <si>
    <t>INTERMITENTES</t>
  </si>
  <si>
    <t xml:space="preserve">AMPERIMETRO </t>
  </si>
  <si>
    <t xml:space="preserve">BATERIAS </t>
  </si>
  <si>
    <t xml:space="preserve">PLATINOS </t>
  </si>
  <si>
    <t xml:space="preserve">SISTEMA ELECTRICO </t>
  </si>
  <si>
    <t>RINES</t>
  </si>
  <si>
    <t>SALPICADERAS</t>
  </si>
  <si>
    <t>BOMBAS/AGUA</t>
  </si>
  <si>
    <t>CIGÜEÑAL</t>
  </si>
  <si>
    <t>MANGUERA</t>
  </si>
  <si>
    <t>CRUCETAS DE FLECHAS</t>
  </si>
  <si>
    <t xml:space="preserve">ESCAPE </t>
  </si>
  <si>
    <t xml:space="preserve">TAPETES </t>
  </si>
  <si>
    <t xml:space="preserve">RETROVISORES </t>
  </si>
  <si>
    <t xml:space="preserve">ESPEJOS LATERALES </t>
  </si>
  <si>
    <t xml:space="preserve">VIDRIOS </t>
  </si>
  <si>
    <t xml:space="preserve">BANDAS </t>
  </si>
  <si>
    <t xml:space="preserve">ABANICO DE ENFRIAMIENTO           </t>
  </si>
  <si>
    <t xml:space="preserve">BOMBA DIRECCION HIDRAULICA             </t>
  </si>
  <si>
    <t xml:space="preserve">MANIJAS DE PUERTAS EXTERIORES E INTERIORES </t>
  </si>
  <si>
    <t>CUBRE ASIENTOS</t>
  </si>
  <si>
    <t>NEUMATICOS</t>
  </si>
  <si>
    <t>COMISIONES BANCARIAS POR MANEJO DE CUENTA</t>
  </si>
  <si>
    <t>MANO DE OBRA DEL SERVICIO DE MANTENIMIENTO</t>
  </si>
  <si>
    <t>GASTOS DEL TRASLADO DEL PERSONAL</t>
  </si>
  <si>
    <t>MATERIAL VEGETATIVO, INSUMOS Y FERTILIZANTES</t>
  </si>
  <si>
    <t>MATERIAL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</si>
</sst>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.00"/>
    <numFmt numFmtId="166" formatCode="_(* #,##0.00_);_(* \(#,##0.00\);_(* &quot;-&quot;??_);_(@_)"/>
    <numFmt numFmtId="167" formatCode="_-* #,##0.00\ _P_t_s_-;\-* #,##0.00\ _P_t_s_-;_-* &quot;-&quot;??\ _P_t_s_-;_-@_-"/>
    <numFmt numFmtId="168" formatCode="_-&quot;$&quot;* #,##0_-;\-&quot;$&quot;* #,##0_-;_-&quot;$&quot;* &quot;-&quot;??_-;_-@_-"/>
    <numFmt numFmtId="169" formatCode="#,##0_ ;\-#,##0\ "/>
    <numFmt numFmtId="170" formatCode="#,##0.00_ ;\-#,##0.00\ 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name val="Calibri Light"/>
      <family val="2"/>
      <scheme val="major"/>
    </font>
    <font>
      <b/>
      <sz val="8"/>
      <color indexed="8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13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/>
  </cellStyleXfs>
  <cellXfs count="30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4" fontId="1" fillId="0" borderId="1" xfId="1" applyFont="1" applyBorder="1"/>
    <xf numFmtId="0" fontId="2" fillId="0" borderId="2" xfId="0" applyFont="1" applyBorder="1" applyAlignment="1">
      <alignment horizontal="left"/>
    </xf>
    <xf numFmtId="164" fontId="1" fillId="0" borderId="0" xfId="2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4" fontId="1" fillId="0" borderId="7" xfId="1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44" fontId="1" fillId="0" borderId="5" xfId="1" applyFont="1" applyBorder="1"/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4" fontId="1" fillId="0" borderId="0" xfId="1" applyFont="1" applyBorder="1"/>
    <xf numFmtId="164" fontId="2" fillId="0" borderId="0" xfId="2" applyFont="1" applyBorder="1"/>
    <xf numFmtId="44" fontId="2" fillId="0" borderId="0" xfId="1" applyFont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4" xfId="0" applyFont="1" applyFill="1" applyBorder="1" applyAlignment="1"/>
    <xf numFmtId="0" fontId="6" fillId="0" borderId="1" xfId="0" applyFont="1" applyFill="1" applyBorder="1" applyAlignment="1">
      <alignment horizontal="center"/>
    </xf>
    <xf numFmtId="43" fontId="1" fillId="0" borderId="7" xfId="1" applyNumberFormat="1" applyFont="1" applyBorder="1"/>
    <xf numFmtId="0" fontId="6" fillId="0" borderId="14" xfId="0" applyFont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4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8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4" fontId="6" fillId="0" borderId="3" xfId="1" applyFont="1" applyBorder="1"/>
    <xf numFmtId="44" fontId="6" fillId="0" borderId="13" xfId="1" applyFont="1" applyBorder="1"/>
    <xf numFmtId="0" fontId="6" fillId="0" borderId="1" xfId="0" applyFont="1" applyBorder="1"/>
    <xf numFmtId="44" fontId="6" fillId="0" borderId="1" xfId="1" applyFont="1" applyBorder="1"/>
    <xf numFmtId="43" fontId="6" fillId="0" borderId="7" xfId="1" applyNumberFormat="1" applyFont="1" applyBorder="1"/>
    <xf numFmtId="0" fontId="6" fillId="0" borderId="17" xfId="0" applyFont="1" applyBorder="1"/>
    <xf numFmtId="44" fontId="6" fillId="0" borderId="17" xfId="1" applyFont="1" applyBorder="1"/>
    <xf numFmtId="0" fontId="6" fillId="0" borderId="4" xfId="0" applyFont="1" applyBorder="1" applyAlignment="1">
      <alignment horizontal="center"/>
    </xf>
    <xf numFmtId="44" fontId="6" fillId="0" borderId="0" xfId="1" applyFont="1" applyBorder="1"/>
    <xf numFmtId="44" fontId="12" fillId="0" borderId="0" xfId="1" applyFont="1" applyBorder="1"/>
    <xf numFmtId="0" fontId="6" fillId="0" borderId="6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7" xfId="0" applyFont="1" applyFill="1" applyBorder="1"/>
    <xf numFmtId="0" fontId="11" fillId="2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6" fillId="4" borderId="1" xfId="0" applyFont="1" applyFill="1" applyBorder="1" applyAlignment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2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18" xfId="0" applyFont="1" applyFill="1" applyBorder="1" applyAlignment="1"/>
    <xf numFmtId="0" fontId="6" fillId="0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4" borderId="17" xfId="0" applyFont="1" applyFill="1" applyBorder="1"/>
    <xf numFmtId="44" fontId="1" fillId="0" borderId="17" xfId="1" applyFont="1" applyBorder="1"/>
    <xf numFmtId="43" fontId="6" fillId="0" borderId="19" xfId="1" applyNumberFormat="1" applyFont="1" applyBorder="1"/>
    <xf numFmtId="43" fontId="6" fillId="0" borderId="3" xfId="1" applyNumberFormat="1" applyFont="1" applyBorder="1"/>
    <xf numFmtId="43" fontId="6" fillId="0" borderId="1" xfId="1" applyNumberFormat="1" applyFont="1" applyBorder="1"/>
    <xf numFmtId="43" fontId="6" fillId="0" borderId="17" xfId="1" applyNumberFormat="1" applyFont="1" applyBorder="1"/>
    <xf numFmtId="0" fontId="6" fillId="0" borderId="18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6" fillId="4" borderId="20" xfId="0" applyFont="1" applyFill="1" applyBorder="1" applyAlignment="1">
      <alignment horizontal="center"/>
    </xf>
    <xf numFmtId="44" fontId="6" fillId="0" borderId="20" xfId="1" applyFont="1" applyBorder="1"/>
    <xf numFmtId="44" fontId="6" fillId="0" borderId="21" xfId="1" applyFont="1" applyBorder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11" fillId="2" borderId="12" xfId="0" applyNumberFormat="1" applyFont="1" applyFill="1" applyBorder="1" applyAlignment="1">
      <alignment horizontal="center" wrapText="1"/>
    </xf>
    <xf numFmtId="165" fontId="6" fillId="0" borderId="13" xfId="1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165" fontId="6" fillId="0" borderId="19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19" xfId="1" applyNumberFormat="1" applyFont="1" applyBorder="1" applyAlignment="1">
      <alignment horizontal="center"/>
    </xf>
    <xf numFmtId="0" fontId="6" fillId="0" borderId="18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0" fontId="0" fillId="0" borderId="1" xfId="0" applyFill="1" applyBorder="1"/>
    <xf numFmtId="0" fontId="1" fillId="0" borderId="2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44" fontId="1" fillId="0" borderId="13" xfId="1" applyFont="1" applyBorder="1"/>
    <xf numFmtId="0" fontId="1" fillId="0" borderId="1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4" fontId="1" fillId="0" borderId="0" xfId="5" applyFont="1" applyBorder="1"/>
    <xf numFmtId="164" fontId="2" fillId="0" borderId="0" xfId="5" applyFont="1" applyBorder="1"/>
    <xf numFmtId="0" fontId="1" fillId="0" borderId="1" xfId="0" applyFont="1" applyBorder="1" applyAlignment="1">
      <alignment horizontal="justify" vertical="justify"/>
    </xf>
    <xf numFmtId="0" fontId="1" fillId="5" borderId="1" xfId="6" applyFont="1" applyFill="1" applyBorder="1" applyAlignment="1">
      <alignment horizontal="center"/>
    </xf>
    <xf numFmtId="166" fontId="1" fillId="5" borderId="1" xfId="7" applyNumberFormat="1" applyFont="1" applyFill="1" applyBorder="1" applyAlignment="1">
      <alignment horizontal="right"/>
    </xf>
    <xf numFmtId="44" fontId="2" fillId="0" borderId="4" xfId="1" applyFont="1" applyBorder="1"/>
    <xf numFmtId="44" fontId="2" fillId="0" borderId="5" xfId="1" applyFont="1" applyBorder="1"/>
    <xf numFmtId="166" fontId="14" fillId="0" borderId="23" xfId="7" applyNumberFormat="1" applyFont="1" applyFill="1" applyBorder="1" applyAlignment="1">
      <alignment horizontal="right"/>
    </xf>
    <xf numFmtId="166" fontId="15" fillId="5" borderId="1" xfId="5" applyNumberFormat="1" applyFont="1" applyFill="1" applyBorder="1" applyAlignment="1">
      <alignment horizontal="right" vertical="top"/>
    </xf>
    <xf numFmtId="166" fontId="15" fillId="0" borderId="20" xfId="7" applyNumberFormat="1" applyFont="1" applyFill="1" applyBorder="1" applyAlignment="1">
      <alignment horizontal="right"/>
    </xf>
    <xf numFmtId="166" fontId="14" fillId="5" borderId="23" xfId="7" applyNumberFormat="1" applyFont="1" applyFill="1" applyBorder="1" applyAlignment="1">
      <alignment horizontal="right" vertical="top"/>
    </xf>
    <xf numFmtId="166" fontId="14" fillId="5" borderId="1" xfId="9" applyNumberFormat="1" applyFont="1" applyFill="1" applyBorder="1" applyAlignment="1">
      <alignment horizontal="right" vertical="top"/>
    </xf>
    <xf numFmtId="44" fontId="1" fillId="0" borderId="3" xfId="1" applyFont="1" applyBorder="1"/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/>
    <xf numFmtId="44" fontId="1" fillId="0" borderId="15" xfId="1" applyFont="1" applyBorder="1" applyAlignment="1"/>
    <xf numFmtId="44" fontId="1" fillId="0" borderId="25" xfId="1" applyFont="1" applyBorder="1" applyAlignment="1"/>
    <xf numFmtId="0" fontId="14" fillId="0" borderId="3" xfId="6" applyFont="1" applyFill="1" applyBorder="1"/>
    <xf numFmtId="0" fontId="15" fillId="0" borderId="28" xfId="6" applyFont="1" applyBorder="1" applyAlignment="1">
      <alignment horizontal="center"/>
    </xf>
    <xf numFmtId="166" fontId="15" fillId="0" borderId="3" xfId="7" applyNumberFormat="1" applyFont="1" applyBorder="1" applyAlignment="1">
      <alignment horizontal="right"/>
    </xf>
    <xf numFmtId="0" fontId="14" fillId="0" borderId="1" xfId="6" applyFont="1" applyFill="1" applyBorder="1"/>
    <xf numFmtId="0" fontId="15" fillId="0" borderId="29" xfId="6" applyFont="1" applyBorder="1" applyAlignment="1">
      <alignment horizontal="center"/>
    </xf>
    <xf numFmtId="166" fontId="15" fillId="0" borderId="1" xfId="7" applyNumberFormat="1" applyFont="1" applyBorder="1" applyAlignment="1">
      <alignment horizontal="right"/>
    </xf>
    <xf numFmtId="0" fontId="14" fillId="0" borderId="4" xfId="6" applyFont="1" applyFill="1" applyBorder="1"/>
    <xf numFmtId="0" fontId="15" fillId="0" borderId="30" xfId="6" applyFont="1" applyBorder="1" applyAlignment="1">
      <alignment horizontal="center"/>
    </xf>
    <xf numFmtId="166" fontId="15" fillId="5" borderId="4" xfId="7" applyNumberFormat="1" applyFont="1" applyFill="1" applyBorder="1" applyAlignment="1">
      <alignment horizontal="right"/>
    </xf>
    <xf numFmtId="2" fontId="16" fillId="0" borderId="10" xfId="6" applyNumberFormat="1" applyFont="1" applyFill="1" applyBorder="1" applyAlignment="1">
      <alignment horizontal="center" vertical="center"/>
    </xf>
    <xf numFmtId="0" fontId="16" fillId="0" borderId="10" xfId="6" applyFont="1" applyFill="1" applyBorder="1" applyAlignment="1">
      <alignment horizontal="justify" vertical="center" wrapText="1"/>
    </xf>
    <xf numFmtId="0" fontId="16" fillId="0" borderId="10" xfId="6" applyFont="1" applyBorder="1" applyAlignment="1">
      <alignment horizontal="center" vertical="center"/>
    </xf>
    <xf numFmtId="2" fontId="17" fillId="0" borderId="10" xfId="6" applyNumberFormat="1" applyFont="1" applyFill="1" applyBorder="1" applyAlignment="1">
      <alignment horizontal="left" vertical="center"/>
    </xf>
    <xf numFmtId="0" fontId="15" fillId="0" borderId="1" xfId="6" applyFont="1" applyBorder="1" applyAlignment="1">
      <alignment horizontal="center" vertical="center" wrapText="1"/>
    </xf>
    <xf numFmtId="0" fontId="15" fillId="0" borderId="10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right"/>
    </xf>
    <xf numFmtId="0" fontId="18" fillId="0" borderId="1" xfId="3" applyFont="1" applyFill="1" applyBorder="1" applyAlignment="1">
      <alignment horizontal="left"/>
    </xf>
    <xf numFmtId="0" fontId="18" fillId="0" borderId="20" xfId="3" applyFont="1" applyFill="1" applyBorder="1" applyAlignment="1">
      <alignment horizontal="right" vertical="center"/>
    </xf>
    <xf numFmtId="2" fontId="18" fillId="0" borderId="20" xfId="3" applyNumberFormat="1" applyFont="1" applyFill="1" applyBorder="1" applyAlignment="1">
      <alignment horizontal="center" vertical="center"/>
    </xf>
    <xf numFmtId="4" fontId="18" fillId="0" borderId="3" xfId="3" applyNumberFormat="1" applyFont="1" applyFill="1" applyBorder="1" applyAlignment="1">
      <alignment vertical="center"/>
    </xf>
    <xf numFmtId="0" fontId="1" fillId="0" borderId="0" xfId="0" applyFont="1"/>
    <xf numFmtId="0" fontId="18" fillId="0" borderId="1" xfId="3" applyFont="1" applyFill="1" applyBorder="1" applyAlignment="1">
      <alignment horizontal="right" vertical="center"/>
    </xf>
    <xf numFmtId="2" fontId="18" fillId="0" borderId="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vertical="center"/>
    </xf>
    <xf numFmtId="4" fontId="18" fillId="0" borderId="1" xfId="10" applyNumberFormat="1" applyFont="1" applyFill="1" applyBorder="1" applyAlignment="1">
      <alignment horizontal="right" vertical="center"/>
    </xf>
    <xf numFmtId="0" fontId="18" fillId="0" borderId="1" xfId="3" applyFont="1" applyFill="1" applyBorder="1" applyAlignment="1">
      <alignment horizontal="left" vertical="center"/>
    </xf>
    <xf numFmtId="0" fontId="18" fillId="0" borderId="3" xfId="3" applyFont="1" applyFill="1" applyBorder="1" applyAlignment="1">
      <alignment horizontal="right" vertical="center"/>
    </xf>
    <xf numFmtId="4" fontId="19" fillId="0" borderId="3" xfId="3" applyNumberFormat="1" applyFont="1" applyFill="1" applyBorder="1" applyAlignment="1">
      <alignment vertical="center"/>
    </xf>
    <xf numFmtId="4" fontId="19" fillId="0" borderId="1" xfId="3" applyNumberFormat="1" applyFont="1" applyFill="1" applyBorder="1" applyAlignment="1">
      <alignment vertical="center"/>
    </xf>
    <xf numFmtId="0" fontId="18" fillId="0" borderId="3" xfId="3" applyFont="1" applyFill="1" applyBorder="1" applyAlignment="1">
      <alignment horizontal="left" vertical="center"/>
    </xf>
    <xf numFmtId="4" fontId="18" fillId="0" borderId="23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horizontal="right" vertical="center"/>
    </xf>
    <xf numFmtId="0" fontId="18" fillId="0" borderId="31" xfId="3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8" fillId="0" borderId="31" xfId="3" applyFont="1" applyFill="1" applyBorder="1" applyAlignment="1">
      <alignment horizontal="right" vertical="center" wrapText="1"/>
    </xf>
    <xf numFmtId="4" fontId="19" fillId="0" borderId="23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horizontal="right" vertical="center" wrapText="1"/>
    </xf>
    <xf numFmtId="0" fontId="18" fillId="0" borderId="23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2" fontId="18" fillId="0" borderId="23" xfId="3" applyNumberFormat="1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8" fillId="0" borderId="31" xfId="3" applyFont="1" applyFill="1" applyBorder="1" applyAlignment="1">
      <alignment horizontal="right"/>
    </xf>
    <xf numFmtId="2" fontId="18" fillId="0" borderId="23" xfId="3" applyNumberFormat="1" applyFont="1" applyFill="1" applyBorder="1" applyAlignment="1">
      <alignment horizontal="center" vertical="top"/>
    </xf>
    <xf numFmtId="0" fontId="18" fillId="0" borderId="23" xfId="3" applyFont="1" applyFill="1" applyBorder="1" applyAlignment="1">
      <alignment horizontal="center" vertical="top"/>
    </xf>
    <xf numFmtId="4" fontId="18" fillId="0" borderId="23" xfId="3" applyNumberFormat="1" applyFont="1" applyFill="1" applyBorder="1" applyAlignment="1">
      <alignment vertical="top"/>
    </xf>
    <xf numFmtId="2" fontId="18" fillId="0" borderId="1" xfId="3" applyNumberFormat="1" applyFont="1" applyFill="1" applyBorder="1" applyAlignment="1">
      <alignment horizontal="center" vertical="top"/>
    </xf>
    <xf numFmtId="0" fontId="18" fillId="0" borderId="1" xfId="3" applyFont="1" applyFill="1" applyBorder="1" applyAlignment="1">
      <alignment horizontal="center" vertical="top"/>
    </xf>
    <xf numFmtId="4" fontId="18" fillId="0" borderId="1" xfId="3" applyNumberFormat="1" applyFont="1" applyFill="1" applyBorder="1" applyAlignment="1">
      <alignment vertical="top"/>
    </xf>
    <xf numFmtId="0" fontId="18" fillId="0" borderId="31" xfId="3" applyFont="1" applyFill="1" applyBorder="1" applyAlignment="1">
      <alignment horizontal="left"/>
    </xf>
    <xf numFmtId="0" fontId="1" fillId="0" borderId="23" xfId="3" applyFont="1" applyFill="1" applyBorder="1" applyAlignment="1">
      <alignment horizontal="center" vertical="top"/>
    </xf>
    <xf numFmtId="1" fontId="1" fillId="0" borderId="23" xfId="3" applyNumberFormat="1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wrapText="1"/>
    </xf>
    <xf numFmtId="4" fontId="18" fillId="0" borderId="23" xfId="3" applyNumberFormat="1" applyFont="1" applyFill="1" applyBorder="1" applyAlignment="1">
      <alignment horizontal="right" vertical="center"/>
    </xf>
    <xf numFmtId="4" fontId="18" fillId="0" borderId="1" xfId="3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4" xfId="0" applyFont="1" applyBorder="1" applyAlignment="1"/>
    <xf numFmtId="0" fontId="20" fillId="0" borderId="14" xfId="0" applyFont="1" applyBorder="1" applyAlignment="1"/>
    <xf numFmtId="0" fontId="18" fillId="0" borderId="31" xfId="3" applyFont="1" applyFill="1" applyBorder="1" applyAlignment="1">
      <alignment horizontal="left" vertical="center" wrapText="1"/>
    </xf>
    <xf numFmtId="0" fontId="21" fillId="0" borderId="14" xfId="0" applyFont="1" applyBorder="1" applyAlignment="1"/>
    <xf numFmtId="168" fontId="2" fillId="0" borderId="0" xfId="1" applyNumberFormat="1" applyFont="1" applyBorder="1"/>
    <xf numFmtId="0" fontId="18" fillId="0" borderId="1" xfId="0" applyFont="1" applyBorder="1" applyAlignment="1">
      <alignment horizontal="center"/>
    </xf>
    <xf numFmtId="44" fontId="18" fillId="0" borderId="1" xfId="1" applyFont="1" applyBorder="1"/>
    <xf numFmtId="44" fontId="18" fillId="0" borderId="7" xfId="1" applyFont="1" applyBorder="1"/>
    <xf numFmtId="0" fontId="14" fillId="0" borderId="23" xfId="6" applyFont="1" applyFill="1" applyBorder="1"/>
    <xf numFmtId="0" fontId="1" fillId="0" borderId="23" xfId="0" applyFont="1" applyFill="1" applyBorder="1" applyAlignment="1">
      <alignment horizontal="center"/>
    </xf>
    <xf numFmtId="166" fontId="15" fillId="0" borderId="23" xfId="7" applyNumberFormat="1" applyFont="1" applyFill="1" applyBorder="1" applyAlignment="1">
      <alignment horizontal="right"/>
    </xf>
    <xf numFmtId="0" fontId="14" fillId="0" borderId="17" xfId="6" applyFont="1" applyFill="1" applyBorder="1"/>
    <xf numFmtId="0" fontId="15" fillId="0" borderId="22" xfId="6" applyFont="1" applyBorder="1" applyAlignment="1">
      <alignment horizontal="center"/>
    </xf>
    <xf numFmtId="166" fontId="15" fillId="5" borderId="17" xfId="7" applyNumberFormat="1" applyFont="1" applyFill="1" applyBorder="1" applyAlignment="1">
      <alignment horizontal="right"/>
    </xf>
    <xf numFmtId="44" fontId="1" fillId="0" borderId="25" xfId="1" applyFont="1" applyBorder="1"/>
    <xf numFmtId="0" fontId="1" fillId="0" borderId="1" xfId="0" applyFont="1" applyFill="1" applyBorder="1" applyAlignment="1">
      <alignment horizontal="center"/>
    </xf>
    <xf numFmtId="166" fontId="15" fillId="0" borderId="1" xfId="7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33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6" borderId="20" xfId="0" applyFont="1" applyFill="1" applyBorder="1" applyAlignment="1">
      <alignment horizontal="center"/>
    </xf>
    <xf numFmtId="0" fontId="1" fillId="0" borderId="20" xfId="0" applyFont="1" applyBorder="1"/>
    <xf numFmtId="44" fontId="1" fillId="0" borderId="34" xfId="0" applyNumberFormat="1" applyFont="1" applyBorder="1" applyAlignment="1">
      <alignment vertical="center"/>
    </xf>
    <xf numFmtId="44" fontId="1" fillId="0" borderId="26" xfId="1" applyFont="1" applyBorder="1"/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/>
    </xf>
    <xf numFmtId="44" fontId="1" fillId="0" borderId="1" xfId="0" applyNumberFormat="1" applyFont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0" fontId="1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44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wrapText="1"/>
    </xf>
    <xf numFmtId="44" fontId="18" fillId="6" borderId="1" xfId="0" applyNumberFormat="1" applyFont="1" applyFill="1" applyBorder="1" applyAlignment="1">
      <alignment vertical="center" wrapText="1"/>
    </xf>
    <xf numFmtId="44" fontId="1" fillId="0" borderId="21" xfId="1" applyFont="1" applyBorder="1"/>
    <xf numFmtId="44" fontId="1" fillId="0" borderId="20" xfId="1" applyFont="1" applyBorder="1"/>
    <xf numFmtId="170" fontId="1" fillId="6" borderId="3" xfId="11" applyNumberFormat="1" applyFont="1" applyFill="1" applyBorder="1" applyAlignment="1">
      <alignment vertical="center"/>
    </xf>
    <xf numFmtId="170" fontId="1" fillId="6" borderId="31" xfId="11" applyNumberFormat="1" applyFont="1" applyFill="1" applyBorder="1" applyAlignment="1">
      <alignment horizontal="center" vertical="center"/>
    </xf>
    <xf numFmtId="44" fontId="1" fillId="0" borderId="23" xfId="0" applyNumberFormat="1" applyFont="1" applyBorder="1" applyAlignment="1">
      <alignment horizontal="right" vertical="center"/>
    </xf>
    <xf numFmtId="170" fontId="1" fillId="6" borderId="1" xfId="11" applyNumberFormat="1" applyFont="1" applyFill="1" applyBorder="1" applyAlignment="1">
      <alignment vertical="center"/>
    </xf>
    <xf numFmtId="170" fontId="1" fillId="6" borderId="1" xfId="11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/>
    </xf>
    <xf numFmtId="170" fontId="1" fillId="6" borderId="1" xfId="11" applyNumberFormat="1" applyFont="1" applyFill="1" applyBorder="1" applyAlignment="1">
      <alignment horizontal="center" vertical="center"/>
    </xf>
    <xf numFmtId="3" fontId="19" fillId="0" borderId="20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vertical="center"/>
    </xf>
    <xf numFmtId="0" fontId="18" fillId="0" borderId="23" xfId="3" applyFont="1" applyFill="1" applyBorder="1" applyAlignment="1">
      <alignment horizontal="left" vertical="center"/>
    </xf>
    <xf numFmtId="44" fontId="1" fillId="0" borderId="26" xfId="1" applyFont="1" applyFill="1" applyBorder="1"/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left" vertical="center"/>
    </xf>
    <xf numFmtId="3" fontId="1" fillId="0" borderId="23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horizontal="left" vertical="center"/>
    </xf>
    <xf numFmtId="44" fontId="1" fillId="0" borderId="23" xfId="0" applyNumberFormat="1" applyFont="1" applyBorder="1" applyAlignment="1">
      <alignment vertical="center"/>
    </xf>
    <xf numFmtId="0" fontId="1" fillId="0" borderId="1" xfId="0" applyFont="1" applyFill="1" applyBorder="1"/>
    <xf numFmtId="0" fontId="6" fillId="0" borderId="1" xfId="0" applyFont="1" applyFill="1" applyBorder="1" applyAlignment="1"/>
    <xf numFmtId="0" fontId="6" fillId="0" borderId="1" xfId="0" applyFont="1" applyFill="1" applyBorder="1"/>
    <xf numFmtId="43" fontId="6" fillId="0" borderId="1" xfId="1" applyNumberFormat="1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4" fontId="1" fillId="0" borderId="15" xfId="1" applyFont="1" applyBorder="1" applyAlignment="1">
      <alignment horizontal="center"/>
    </xf>
    <xf numFmtId="44" fontId="1" fillId="0" borderId="23" xfId="1" applyFont="1" applyBorder="1" applyAlignment="1">
      <alignment horizontal="center"/>
    </xf>
    <xf numFmtId="44" fontId="1" fillId="0" borderId="20" xfId="1" applyFont="1" applyBorder="1" applyAlignment="1">
      <alignment horizontal="center"/>
    </xf>
    <xf numFmtId="44" fontId="1" fillId="0" borderId="25" xfId="1" applyFont="1" applyBorder="1" applyAlignment="1">
      <alignment horizontal="center"/>
    </xf>
    <xf numFmtId="44" fontId="1" fillId="0" borderId="26" xfId="1" applyFont="1" applyBorder="1" applyAlignment="1">
      <alignment horizontal="center"/>
    </xf>
    <xf numFmtId="44" fontId="1" fillId="0" borderId="27" xfId="1" applyFont="1" applyBorder="1" applyAlignment="1">
      <alignment horizontal="center"/>
    </xf>
  </cellXfs>
  <cellStyles count="12">
    <cellStyle name="Millares" xfId="2" builtinId="3"/>
    <cellStyle name="Millares 10" xfId="7"/>
    <cellStyle name="Millares 12" xfId="8"/>
    <cellStyle name="Millares 2" xfId="5"/>
    <cellStyle name="Millares 2 2" xfId="10"/>
    <cellStyle name="Millares 3" xfId="9"/>
    <cellStyle name="Moneda" xfId="1" builtinId="4"/>
    <cellStyle name="Normal" xfId="0" builtinId="0"/>
    <cellStyle name="Normal 2" xfId="4"/>
    <cellStyle name="Normal 2 2" xfId="6"/>
    <cellStyle name="Normal 2 3" xfId="3"/>
    <cellStyle name="Normal_SEMILLA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695825" y="198120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400675" y="0"/>
          <a:ext cx="1409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142875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402080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40042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105275" y="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352425</xdr:colOff>
      <xdr:row>0</xdr:row>
      <xdr:rowOff>2</xdr:rowOff>
    </xdr:from>
    <xdr:to>
      <xdr:col>3</xdr:col>
      <xdr:colOff>1619250</xdr:colOff>
      <xdr:row>6</xdr:row>
      <xdr:rowOff>142876</xdr:rowOff>
    </xdr:to>
    <xdr:pic>
      <xdr:nvPicPr>
        <xdr:cNvPr id="4" name="Imagen 1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581025" y="2"/>
          <a:ext cx="2790825" cy="11715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485776</xdr:colOff>
      <xdr:row>0</xdr:row>
      <xdr:rowOff>85725</xdr:rowOff>
    </xdr:from>
    <xdr:to>
      <xdr:col>20</xdr:col>
      <xdr:colOff>9526</xdr:colOff>
      <xdr:row>8</xdr:row>
      <xdr:rowOff>123825</xdr:rowOff>
    </xdr:to>
    <xdr:pic>
      <xdr:nvPicPr>
        <xdr:cNvPr id="5" name="Imagen 1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792201" y="85725"/>
          <a:ext cx="1809750" cy="1419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486150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191000" y="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352425</xdr:colOff>
      <xdr:row>0</xdr:row>
      <xdr:rowOff>2</xdr:rowOff>
    </xdr:from>
    <xdr:to>
      <xdr:col>3</xdr:col>
      <xdr:colOff>1485900</xdr:colOff>
      <xdr:row>6</xdr:row>
      <xdr:rowOff>104775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600075" y="2"/>
          <a:ext cx="2657475" cy="11334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485776</xdr:colOff>
      <xdr:row>0</xdr:row>
      <xdr:rowOff>85726</xdr:rowOff>
    </xdr:from>
    <xdr:to>
      <xdr:col>19</xdr:col>
      <xdr:colOff>523875</xdr:colOff>
      <xdr:row>8</xdr:row>
      <xdr:rowOff>57151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877926" y="85726"/>
          <a:ext cx="1562099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592050" y="114299"/>
          <a:ext cx="1485899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1</xdr:rowOff>
    </xdr:from>
    <xdr:to>
      <xdr:col>3</xdr:col>
      <xdr:colOff>1838325</xdr:colOff>
      <xdr:row>6</xdr:row>
      <xdr:rowOff>104776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1"/>
          <a:ext cx="3171824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756616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1120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762500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467350" y="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85725</xdr:rowOff>
    </xdr:to>
    <xdr:pic>
      <xdr:nvPicPr>
        <xdr:cNvPr id="4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20</xdr:col>
      <xdr:colOff>9525</xdr:colOff>
      <xdr:row>4</xdr:row>
      <xdr:rowOff>133350</xdr:rowOff>
    </xdr:to>
    <xdr:pic>
      <xdr:nvPicPr>
        <xdr:cNvPr id="5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5478125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67677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381625" y="0"/>
          <a:ext cx="1285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85725</xdr:rowOff>
    </xdr:to>
    <xdr:pic>
      <xdr:nvPicPr>
        <xdr:cNvPr id="4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20</xdr:col>
      <xdr:colOff>9525</xdr:colOff>
      <xdr:row>4</xdr:row>
      <xdr:rowOff>133350</xdr:rowOff>
    </xdr:to>
    <xdr:pic>
      <xdr:nvPicPr>
        <xdr:cNvPr id="5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90650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1647825</xdr:colOff>
      <xdr:row>6</xdr:row>
      <xdr:rowOff>66675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2981325" cy="1314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7</xdr:row>
      <xdr:rowOff>28575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3525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1600201</xdr:colOff>
      <xdr:row>5</xdr:row>
      <xdr:rowOff>66675</xdr:rowOff>
    </xdr:to>
    <xdr:pic>
      <xdr:nvPicPr>
        <xdr:cNvPr id="4" name="Imagen 2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293370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2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4342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248275" y="0"/>
          <a:ext cx="1162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85725</xdr:rowOff>
    </xdr:to>
    <xdr:pic>
      <xdr:nvPicPr>
        <xdr:cNvPr id="4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771525</xdr:colOff>
      <xdr:row>4</xdr:row>
      <xdr:rowOff>133350</xdr:rowOff>
    </xdr:to>
    <xdr:pic>
      <xdr:nvPicPr>
        <xdr:cNvPr id="5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077825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9092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295775" y="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352425</xdr:colOff>
      <xdr:row>0</xdr:row>
      <xdr:rowOff>1</xdr:rowOff>
    </xdr:from>
    <xdr:to>
      <xdr:col>4</xdr:col>
      <xdr:colOff>38101</xdr:colOff>
      <xdr:row>6</xdr:row>
      <xdr:rowOff>76200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590550" y="1"/>
          <a:ext cx="3038476" cy="11048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390526</xdr:colOff>
      <xdr:row>0</xdr:row>
      <xdr:rowOff>85725</xdr:rowOff>
    </xdr:from>
    <xdr:to>
      <xdr:col>20</xdr:col>
      <xdr:colOff>9526</xdr:colOff>
      <xdr:row>7</xdr:row>
      <xdr:rowOff>38100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887451" y="85725"/>
          <a:ext cx="19050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657225</xdr:colOff>
      <xdr:row>4</xdr:row>
      <xdr:rowOff>0</xdr:rowOff>
    </xdr:to>
    <xdr:pic>
      <xdr:nvPicPr>
        <xdr:cNvPr id="5" name="Imagen 10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1876425</xdr:colOff>
      <xdr:row>6</xdr:row>
      <xdr:rowOff>161925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209925" cy="1409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1352551</xdr:colOff>
      <xdr:row>4</xdr:row>
      <xdr:rowOff>57150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2686050" cy="838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1600201</xdr:colOff>
      <xdr:row>5</xdr:row>
      <xdr:rowOff>66675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293370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1943101</xdr:colOff>
      <xdr:row>6</xdr:row>
      <xdr:rowOff>180975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3276600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1781175</xdr:colOff>
      <xdr:row>6</xdr:row>
      <xdr:rowOff>28575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114675" cy="1276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5</xdr:row>
      <xdr:rowOff>104775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047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466724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592050" y="114299"/>
          <a:ext cx="1485899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6314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4342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248275" y="0"/>
          <a:ext cx="1266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85725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771525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5445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6</xdr:row>
      <xdr:rowOff>85725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800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6</xdr:row>
      <xdr:rowOff>85725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800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1304925</xdr:colOff>
      <xdr:row>6</xdr:row>
      <xdr:rowOff>95250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2638425" cy="1343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7</xdr:row>
      <xdr:rowOff>28575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485900" cy="13525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2437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229225" y="0"/>
          <a:ext cx="1257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142875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20</xdr:col>
      <xdr:colOff>9525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1120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6</xdr:row>
      <xdr:rowOff>85725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800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05325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210175" y="0"/>
          <a:ext cx="1276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6</xdr:row>
      <xdr:rowOff>142875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20</xdr:col>
      <xdr:colOff>9525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620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666750</xdr:colOff>
      <xdr:row>4</xdr:row>
      <xdr:rowOff>0</xdr:rowOff>
    </xdr:to>
    <xdr:pic>
      <xdr:nvPicPr>
        <xdr:cNvPr id="5" name="Imagen 10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40982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6314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40982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6314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748334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2669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6</xdr:row>
      <xdr:rowOff>85725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800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705350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410200" y="0"/>
          <a:ext cx="1266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7</xdr:row>
      <xdr:rowOff>38100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257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20</xdr:col>
      <xdr:colOff>9525</xdr:colOff>
      <xdr:row>4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706475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142877</xdr:colOff>
      <xdr:row>0</xdr:row>
      <xdr:rowOff>1</xdr:rowOff>
    </xdr:from>
    <xdr:to>
      <xdr:col>3</xdr:col>
      <xdr:colOff>390526</xdr:colOff>
      <xdr:row>5</xdr:row>
      <xdr:rowOff>104775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2" y="1"/>
          <a:ext cx="1724024" cy="11620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714375</xdr:colOff>
      <xdr:row>5</xdr:row>
      <xdr:rowOff>47625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352550" cy="9906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743450" y="0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733425</xdr:colOff>
      <xdr:row>4</xdr:row>
      <xdr:rowOff>238125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2066924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6</xdr:row>
      <xdr:rowOff>57150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3449300" y="114299"/>
          <a:ext cx="1485900" cy="11906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773642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8017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705350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410200" y="0"/>
          <a:ext cx="1314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2095500</xdr:colOff>
      <xdr:row>7</xdr:row>
      <xdr:rowOff>38100</xdr:rowOff>
    </xdr:to>
    <xdr:pic>
      <xdr:nvPicPr>
        <xdr:cNvPr id="4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904875" y="0"/>
          <a:ext cx="3476625" cy="1257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733425</xdr:colOff>
      <xdr:row>4</xdr:row>
      <xdr:rowOff>133350</xdr:rowOff>
    </xdr:to>
    <xdr:pic>
      <xdr:nvPicPr>
        <xdr:cNvPr id="5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4277975" y="114299"/>
          <a:ext cx="1485900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142876</xdr:colOff>
      <xdr:row>0</xdr:row>
      <xdr:rowOff>0</xdr:rowOff>
    </xdr:from>
    <xdr:to>
      <xdr:col>3</xdr:col>
      <xdr:colOff>1390650</xdr:colOff>
      <xdr:row>4</xdr:row>
      <xdr:rowOff>180975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1" y="0"/>
          <a:ext cx="2724149" cy="962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847725</xdr:colOff>
      <xdr:row>9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5900" cy="16478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2124075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43450" y="0"/>
          <a:ext cx="97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0</xdr:rowOff>
    </xdr:from>
    <xdr:to>
      <xdr:col>3</xdr:col>
      <xdr:colOff>2143125</xdr:colOff>
      <xdr:row>5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285750" y="0"/>
          <a:ext cx="3476625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114299</xdr:rowOff>
    </xdr:from>
    <xdr:to>
      <xdr:col>19</xdr:col>
      <xdr:colOff>781464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2477750" y="114299"/>
          <a:ext cx="1486314" cy="666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619500" y="18478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704850</xdr:colOff>
      <xdr:row>0</xdr:row>
      <xdr:rowOff>0</xdr:rowOff>
    </xdr:from>
    <xdr:to>
      <xdr:col>6</xdr:col>
      <xdr:colOff>590550</xdr:colOff>
      <xdr:row>4</xdr:row>
      <xdr:rowOff>9525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324350" y="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352425</xdr:colOff>
      <xdr:row>0</xdr:row>
      <xdr:rowOff>2</xdr:rowOff>
    </xdr:from>
    <xdr:to>
      <xdr:col>3</xdr:col>
      <xdr:colOff>1619250</xdr:colOff>
      <xdr:row>6</xdr:row>
      <xdr:rowOff>85726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1" r="63893"/>
        <a:stretch/>
      </xdr:blipFill>
      <xdr:spPr bwMode="auto">
        <a:xfrm>
          <a:off x="552450" y="2"/>
          <a:ext cx="2790825" cy="1114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485776</xdr:colOff>
      <xdr:row>0</xdr:row>
      <xdr:rowOff>85725</xdr:rowOff>
    </xdr:from>
    <xdr:to>
      <xdr:col>20</xdr:col>
      <xdr:colOff>9526</xdr:colOff>
      <xdr:row>8</xdr:row>
      <xdr:rowOff>38100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14" t="25376" r="4753" b="18233"/>
        <a:stretch/>
      </xdr:blipFill>
      <xdr:spPr bwMode="auto">
        <a:xfrm>
          <a:off x="14011276" y="85725"/>
          <a:ext cx="1809750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0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1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2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4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5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6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7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8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79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0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1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2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4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5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6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4" tint="-0.249977111117893"/>
  </sheetPr>
  <dimension ref="B1:Y105"/>
  <sheetViews>
    <sheetView zoomScale="115" zoomScaleNormal="115" workbookViewId="0">
      <pane ySplit="10" topLeftCell="A100" activePane="bottomLeft" state="frozen"/>
      <selection pane="bottomLeft" activeCell="H119" sqref="H11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8.28515625" customWidth="1"/>
    <col min="7" max="7" width="9.42578125" style="4" customWidth="1"/>
    <col min="8" max="8" width="9.140625" customWidth="1"/>
    <col min="9" max="9" width="8.42578125" style="4" customWidth="1"/>
    <col min="10" max="10" width="11.42578125" customWidth="1"/>
    <col min="11" max="11" width="8.7109375" customWidth="1"/>
    <col min="12" max="12" width="9.140625" customWidth="1"/>
    <col min="13" max="13" width="10" customWidth="1"/>
    <col min="14" max="14" width="11.85546875" customWidth="1"/>
    <col min="15" max="15" width="9.85546875" style="4" customWidth="1"/>
    <col min="16" max="16" width="12.140625" customWidth="1"/>
    <col min="17" max="17" width="12.28515625" customWidth="1"/>
    <col min="18" max="18" width="8.85546875" style="114" bestFit="1" customWidth="1"/>
    <col min="19" max="19" width="10.28515625" customWidth="1"/>
    <col min="20" max="20" width="19.140625" style="122" customWidth="1"/>
  </cols>
  <sheetData>
    <row r="1" spans="2:25" s="2" customFormat="1" x14ac:dyDescent="0.2">
      <c r="C1" s="3"/>
      <c r="D1" s="4"/>
      <c r="E1" s="5"/>
      <c r="F1" s="5"/>
      <c r="G1" s="13"/>
      <c r="H1" s="5"/>
      <c r="I1" s="13"/>
      <c r="M1" s="6"/>
      <c r="N1" s="6"/>
      <c r="O1" s="6"/>
      <c r="P1" s="6"/>
      <c r="Q1" s="6"/>
      <c r="R1" s="108"/>
      <c r="S1" s="6"/>
      <c r="T1" s="115"/>
      <c r="U1" s="6"/>
      <c r="V1" s="6"/>
      <c r="W1" s="6"/>
      <c r="X1" s="6"/>
      <c r="Y1" s="6"/>
    </row>
    <row r="2" spans="2:25" s="2" customFormat="1" x14ac:dyDescent="0.2">
      <c r="C2" s="4"/>
      <c r="D2" s="5"/>
      <c r="E2" s="5"/>
      <c r="F2" s="5"/>
      <c r="G2" s="13"/>
      <c r="H2" s="5"/>
      <c r="I2" s="13"/>
      <c r="M2" s="6"/>
      <c r="N2" s="6"/>
      <c r="O2" s="6"/>
      <c r="P2" s="6"/>
      <c r="Q2" s="6"/>
      <c r="R2" s="108"/>
      <c r="S2" s="6"/>
      <c r="T2" s="115"/>
      <c r="U2" s="6"/>
      <c r="V2" s="6"/>
      <c r="W2" s="6"/>
      <c r="X2" s="6"/>
      <c r="Y2" s="6"/>
    </row>
    <row r="3" spans="2:25" s="2" customFormat="1" ht="11.25" x14ac:dyDescent="0.2">
      <c r="C3" s="3"/>
      <c r="D3" s="5"/>
      <c r="E3" s="5"/>
      <c r="F3" s="5"/>
      <c r="G3" s="13"/>
      <c r="H3" s="5"/>
      <c r="I3" s="13"/>
      <c r="M3" s="6"/>
      <c r="N3" s="6"/>
      <c r="O3" s="6"/>
      <c r="P3" s="6"/>
      <c r="Q3" s="6"/>
      <c r="R3" s="108"/>
      <c r="S3" s="6"/>
      <c r="T3" s="115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5"/>
      <c r="E4" s="5"/>
      <c r="F4" s="5"/>
      <c r="G4" s="13"/>
      <c r="H4" s="5"/>
      <c r="I4" s="4"/>
      <c r="M4" s="6"/>
      <c r="N4" s="6"/>
      <c r="O4" s="6"/>
      <c r="P4" s="6"/>
      <c r="Q4" s="6"/>
      <c r="R4" s="108"/>
      <c r="S4" s="6"/>
      <c r="T4" s="115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26</v>
      </c>
      <c r="E8" s="5"/>
      <c r="F8" s="5"/>
      <c r="G8" s="13"/>
      <c r="H8" s="5"/>
      <c r="I8" s="13"/>
      <c r="M8" s="6"/>
      <c r="N8" s="6"/>
      <c r="O8" s="6"/>
      <c r="P8" s="6"/>
      <c r="Q8" s="6"/>
      <c r="R8" s="108"/>
      <c r="S8" s="293"/>
      <c r="T8" s="293"/>
      <c r="U8" s="6"/>
      <c r="V8" s="6"/>
      <c r="W8" s="6"/>
      <c r="X8" s="6"/>
      <c r="Y8" s="6"/>
    </row>
    <row r="9" spans="2:25" s="45" customFormat="1" ht="13.5" thickBot="1" x14ac:dyDescent="0.25">
      <c r="G9" s="46"/>
      <c r="I9" s="46"/>
      <c r="O9" s="46"/>
      <c r="R9" s="112"/>
      <c r="T9" s="116"/>
    </row>
    <row r="10" spans="2:25" s="45" customFormat="1" ht="36" customHeight="1" thickBot="1" x14ac:dyDescent="0.25">
      <c r="B10" s="47" t="s">
        <v>0</v>
      </c>
      <c r="C10" s="48" t="s">
        <v>2</v>
      </c>
      <c r="D10" s="48" t="s">
        <v>4</v>
      </c>
      <c r="E10" s="48" t="s">
        <v>3</v>
      </c>
      <c r="F10" s="49" t="s">
        <v>5</v>
      </c>
      <c r="G10" s="49" t="s">
        <v>6</v>
      </c>
      <c r="H10" s="49" t="s">
        <v>7</v>
      </c>
      <c r="I10" s="49" t="s">
        <v>8</v>
      </c>
      <c r="J10" s="48" t="s">
        <v>9</v>
      </c>
      <c r="K10" s="48" t="s">
        <v>10</v>
      </c>
      <c r="L10" s="49" t="s">
        <v>11</v>
      </c>
      <c r="M10" s="48" t="s">
        <v>12</v>
      </c>
      <c r="N10" s="48" t="s">
        <v>13</v>
      </c>
      <c r="O10" s="72" t="s">
        <v>14</v>
      </c>
      <c r="P10" s="72" t="s">
        <v>15</v>
      </c>
      <c r="Q10" s="72" t="s">
        <v>16</v>
      </c>
      <c r="R10" s="48" t="s">
        <v>1</v>
      </c>
      <c r="S10" s="50" t="s">
        <v>20</v>
      </c>
      <c r="T10" s="117" t="s">
        <v>25</v>
      </c>
    </row>
    <row r="11" spans="2:25" s="45" customFormat="1" x14ac:dyDescent="0.2">
      <c r="B11" s="30">
        <v>1</v>
      </c>
      <c r="C11" s="52">
        <v>21102</v>
      </c>
      <c r="D11" s="31" t="s">
        <v>27</v>
      </c>
      <c r="E11" s="30" t="s">
        <v>51</v>
      </c>
      <c r="F11" s="66">
        <v>72</v>
      </c>
      <c r="G11" s="66">
        <v>20</v>
      </c>
      <c r="H11" s="66">
        <v>4</v>
      </c>
      <c r="I11" s="30">
        <v>52</v>
      </c>
      <c r="J11" s="53">
        <f>5+19</f>
        <v>24</v>
      </c>
      <c r="K11" s="53">
        <v>4</v>
      </c>
      <c r="L11" s="69">
        <v>34</v>
      </c>
      <c r="M11" s="68">
        <f>38+19</f>
        <v>57</v>
      </c>
      <c r="N11" s="69">
        <v>5</v>
      </c>
      <c r="O11" s="53">
        <v>12</v>
      </c>
      <c r="P11" s="54">
        <f>38+18</f>
        <v>56</v>
      </c>
      <c r="Q11" s="54"/>
      <c r="R11" s="109">
        <f>SUM(F11:Q11)</f>
        <v>340</v>
      </c>
      <c r="S11" s="94">
        <v>10.3</v>
      </c>
      <c r="T11" s="118">
        <f>S11*R11</f>
        <v>3502.0000000000005</v>
      </c>
    </row>
    <row r="12" spans="2:25" s="45" customFormat="1" x14ac:dyDescent="0.2">
      <c r="B12" s="30">
        <v>2</v>
      </c>
      <c r="C12" s="30">
        <v>21102</v>
      </c>
      <c r="D12" s="31" t="s">
        <v>28</v>
      </c>
      <c r="E12" s="30" t="s">
        <v>51</v>
      </c>
      <c r="F12" s="66">
        <v>38</v>
      </c>
      <c r="G12" s="66">
        <f>10+19</f>
        <v>29</v>
      </c>
      <c r="H12" s="66"/>
      <c r="I12" s="30">
        <v>48</v>
      </c>
      <c r="J12" s="30">
        <v>19</v>
      </c>
      <c r="K12" s="30"/>
      <c r="L12" s="66">
        <v>20</v>
      </c>
      <c r="M12" s="70">
        <f>38+19</f>
        <v>57</v>
      </c>
      <c r="N12" s="66"/>
      <c r="O12" s="30">
        <v>10</v>
      </c>
      <c r="P12" s="57">
        <f>38+18</f>
        <v>56</v>
      </c>
      <c r="Q12" s="57"/>
      <c r="R12" s="110">
        <f>+SUM(F12:Q12)</f>
        <v>277</v>
      </c>
      <c r="S12" s="95">
        <v>9.8699999999999992</v>
      </c>
      <c r="T12" s="119">
        <f>+S12*R12</f>
        <v>2733.99</v>
      </c>
    </row>
    <row r="13" spans="2:25" s="45" customFormat="1" x14ac:dyDescent="0.2">
      <c r="B13" s="30">
        <v>3</v>
      </c>
      <c r="C13" s="30">
        <v>21102</v>
      </c>
      <c r="D13" s="31" t="s">
        <v>29</v>
      </c>
      <c r="E13" s="30" t="s">
        <v>51</v>
      </c>
      <c r="F13" s="66">
        <v>22</v>
      </c>
      <c r="G13" s="66">
        <v>36</v>
      </c>
      <c r="H13" s="66"/>
      <c r="I13" s="30">
        <v>40</v>
      </c>
      <c r="J13" s="30">
        <v>6</v>
      </c>
      <c r="K13" s="30"/>
      <c r="L13" s="66">
        <v>60</v>
      </c>
      <c r="M13" s="70">
        <v>6</v>
      </c>
      <c r="N13" s="66"/>
      <c r="O13" s="30">
        <v>30</v>
      </c>
      <c r="P13" s="57">
        <v>1</v>
      </c>
      <c r="Q13" s="57"/>
      <c r="R13" s="110">
        <f>+SUM(F13:Q13)</f>
        <v>201</v>
      </c>
      <c r="S13" s="95">
        <v>34.770000000000003</v>
      </c>
      <c r="T13" s="119">
        <f>+S13*R13</f>
        <v>6988.77</v>
      </c>
    </row>
    <row r="14" spans="2:25" s="45" customFormat="1" x14ac:dyDescent="0.2">
      <c r="B14" s="30">
        <v>4</v>
      </c>
      <c r="C14" s="30">
        <v>21102</v>
      </c>
      <c r="D14" s="31" t="s">
        <v>30</v>
      </c>
      <c r="E14" s="30" t="s">
        <v>52</v>
      </c>
      <c r="F14" s="66">
        <v>8</v>
      </c>
      <c r="G14" s="66">
        <v>25</v>
      </c>
      <c r="H14" s="66"/>
      <c r="I14" s="30">
        <v>25</v>
      </c>
      <c r="J14" s="30"/>
      <c r="K14" s="30"/>
      <c r="L14" s="66">
        <v>50</v>
      </c>
      <c r="M14" s="70"/>
      <c r="N14" s="66"/>
      <c r="O14" s="30">
        <v>25</v>
      </c>
      <c r="P14" s="57"/>
      <c r="Q14" s="57"/>
      <c r="R14" s="110">
        <f t="shared" ref="R14:R33" si="0">+SUM(F14:Q14)</f>
        <v>133</v>
      </c>
      <c r="S14" s="95">
        <v>16.309999999999999</v>
      </c>
      <c r="T14" s="119">
        <f>+S14*R14</f>
        <v>2169.23</v>
      </c>
    </row>
    <row r="15" spans="2:25" s="45" customFormat="1" x14ac:dyDescent="0.2">
      <c r="B15" s="30">
        <v>5</v>
      </c>
      <c r="C15" s="30">
        <v>21102</v>
      </c>
      <c r="D15" s="31" t="s">
        <v>31</v>
      </c>
      <c r="E15" s="30" t="s">
        <v>53</v>
      </c>
      <c r="F15" s="66"/>
      <c r="G15" s="66">
        <v>10</v>
      </c>
      <c r="H15" s="66"/>
      <c r="I15" s="30">
        <v>10</v>
      </c>
      <c r="J15" s="30"/>
      <c r="K15" s="30"/>
      <c r="L15" s="66">
        <v>20</v>
      </c>
      <c r="M15" s="70"/>
      <c r="N15" s="66"/>
      <c r="O15" s="30">
        <v>20</v>
      </c>
      <c r="P15" s="57"/>
      <c r="Q15" s="57"/>
      <c r="R15" s="110">
        <f t="shared" si="0"/>
        <v>60</v>
      </c>
      <c r="S15" s="95">
        <v>11.59</v>
      </c>
      <c r="T15" s="119">
        <f t="shared" ref="T15:T47" si="1">+S15*R15</f>
        <v>695.4</v>
      </c>
    </row>
    <row r="16" spans="2:25" s="45" customFormat="1" x14ac:dyDescent="0.2">
      <c r="B16" s="30">
        <v>6</v>
      </c>
      <c r="C16" s="30">
        <v>21102</v>
      </c>
      <c r="D16" s="31" t="s">
        <v>32</v>
      </c>
      <c r="E16" s="30" t="s">
        <v>53</v>
      </c>
      <c r="F16" s="66"/>
      <c r="G16" s="66">
        <v>10</v>
      </c>
      <c r="H16" s="66"/>
      <c r="I16" s="30">
        <v>10</v>
      </c>
      <c r="J16" s="30"/>
      <c r="K16" s="30"/>
      <c r="L16" s="66">
        <v>20</v>
      </c>
      <c r="M16" s="70"/>
      <c r="N16" s="66"/>
      <c r="O16" s="30">
        <v>20</v>
      </c>
      <c r="P16" s="57"/>
      <c r="Q16" s="57"/>
      <c r="R16" s="110">
        <f t="shared" si="0"/>
        <v>60</v>
      </c>
      <c r="S16" s="95">
        <v>11.59</v>
      </c>
      <c r="T16" s="119">
        <f t="shared" si="1"/>
        <v>695.4</v>
      </c>
    </row>
    <row r="17" spans="2:20" s="45" customFormat="1" x14ac:dyDescent="0.2">
      <c r="B17" s="30">
        <v>7</v>
      </c>
      <c r="C17" s="30">
        <v>21102</v>
      </c>
      <c r="D17" s="31" t="s">
        <v>33</v>
      </c>
      <c r="E17" s="30" t="s">
        <v>51</v>
      </c>
      <c r="F17" s="66">
        <v>20</v>
      </c>
      <c r="G17" s="66">
        <v>10</v>
      </c>
      <c r="H17" s="66"/>
      <c r="I17" s="30">
        <v>15</v>
      </c>
      <c r="J17" s="30"/>
      <c r="K17" s="30"/>
      <c r="L17" s="66">
        <v>20</v>
      </c>
      <c r="M17" s="70"/>
      <c r="N17" s="66"/>
      <c r="O17" s="30">
        <v>10</v>
      </c>
      <c r="P17" s="57"/>
      <c r="Q17" s="57"/>
      <c r="R17" s="110">
        <f t="shared" si="0"/>
        <v>75</v>
      </c>
      <c r="S17" s="95">
        <v>8.73</v>
      </c>
      <c r="T17" s="119">
        <f t="shared" si="1"/>
        <v>654.75</v>
      </c>
    </row>
    <row r="18" spans="2:20" s="45" customFormat="1" x14ac:dyDescent="0.2">
      <c r="B18" s="30">
        <v>8</v>
      </c>
      <c r="C18" s="30">
        <v>21102</v>
      </c>
      <c r="D18" s="31" t="s">
        <v>34</v>
      </c>
      <c r="E18" s="30" t="s">
        <v>52</v>
      </c>
      <c r="F18" s="66">
        <v>7</v>
      </c>
      <c r="G18" s="66">
        <f>15+1</f>
        <v>16</v>
      </c>
      <c r="H18" s="66"/>
      <c r="I18" s="30">
        <v>20</v>
      </c>
      <c r="J18" s="30"/>
      <c r="K18" s="30"/>
      <c r="L18" s="66">
        <v>40</v>
      </c>
      <c r="M18" s="70"/>
      <c r="N18" s="66"/>
      <c r="O18" s="30">
        <v>15</v>
      </c>
      <c r="P18" s="57"/>
      <c r="Q18" s="57"/>
      <c r="R18" s="110">
        <f t="shared" si="0"/>
        <v>98</v>
      </c>
      <c r="S18" s="95">
        <v>33.770000000000003</v>
      </c>
      <c r="T18" s="119">
        <f t="shared" si="1"/>
        <v>3309.4600000000005</v>
      </c>
    </row>
    <row r="19" spans="2:20" s="45" customFormat="1" x14ac:dyDescent="0.2">
      <c r="B19" s="30">
        <v>9</v>
      </c>
      <c r="C19" s="30">
        <v>21102</v>
      </c>
      <c r="D19" s="32" t="s">
        <v>35</v>
      </c>
      <c r="E19" s="33" t="s">
        <v>52</v>
      </c>
      <c r="F19" s="66"/>
      <c r="G19" s="66">
        <v>20</v>
      </c>
      <c r="H19" s="66"/>
      <c r="I19" s="30">
        <v>20</v>
      </c>
      <c r="J19" s="30">
        <v>1</v>
      </c>
      <c r="K19" s="30"/>
      <c r="L19" s="66">
        <v>40</v>
      </c>
      <c r="M19" s="70"/>
      <c r="N19" s="66"/>
      <c r="O19" s="30">
        <v>20</v>
      </c>
      <c r="P19" s="57"/>
      <c r="Q19" s="57"/>
      <c r="R19" s="110">
        <f t="shared" si="0"/>
        <v>101</v>
      </c>
      <c r="S19" s="95">
        <v>7.16</v>
      </c>
      <c r="T19" s="119">
        <f t="shared" si="1"/>
        <v>723.16</v>
      </c>
    </row>
    <row r="20" spans="2:20" s="45" customFormat="1" x14ac:dyDescent="0.2">
      <c r="B20" s="30">
        <v>10</v>
      </c>
      <c r="C20" s="30">
        <v>21102</v>
      </c>
      <c r="D20" s="31" t="s">
        <v>36</v>
      </c>
      <c r="E20" s="30" t="s">
        <v>52</v>
      </c>
      <c r="F20" s="66">
        <v>14</v>
      </c>
      <c r="G20" s="66">
        <v>25</v>
      </c>
      <c r="H20" s="66">
        <v>4</v>
      </c>
      <c r="I20" s="30">
        <v>24</v>
      </c>
      <c r="J20" s="30">
        <v>5</v>
      </c>
      <c r="K20" s="30">
        <v>4</v>
      </c>
      <c r="L20" s="66">
        <v>44</v>
      </c>
      <c r="M20" s="70">
        <v>5</v>
      </c>
      <c r="N20" s="66">
        <v>4</v>
      </c>
      <c r="O20" s="30">
        <v>28</v>
      </c>
      <c r="P20" s="57">
        <v>5</v>
      </c>
      <c r="Q20" s="57"/>
      <c r="R20" s="110">
        <f t="shared" si="0"/>
        <v>162</v>
      </c>
      <c r="S20" s="95">
        <v>11.38</v>
      </c>
      <c r="T20" s="119">
        <f t="shared" si="1"/>
        <v>1843.5600000000002</v>
      </c>
    </row>
    <row r="21" spans="2:20" s="45" customFormat="1" x14ac:dyDescent="0.2">
      <c r="B21" s="30">
        <v>11</v>
      </c>
      <c r="C21" s="30">
        <v>21102</v>
      </c>
      <c r="D21" s="31" t="s">
        <v>37</v>
      </c>
      <c r="E21" s="30" t="s">
        <v>51</v>
      </c>
      <c r="F21" s="66"/>
      <c r="G21" s="66">
        <v>3</v>
      </c>
      <c r="H21" s="66"/>
      <c r="I21" s="30">
        <v>5</v>
      </c>
      <c r="J21" s="30"/>
      <c r="K21" s="30"/>
      <c r="L21" s="66">
        <v>15</v>
      </c>
      <c r="M21" s="70"/>
      <c r="N21" s="66"/>
      <c r="O21" s="30">
        <v>3</v>
      </c>
      <c r="P21" s="57"/>
      <c r="Q21" s="57"/>
      <c r="R21" s="110">
        <f t="shared" si="0"/>
        <v>26</v>
      </c>
      <c r="S21" s="95">
        <v>11.81</v>
      </c>
      <c r="T21" s="119">
        <f t="shared" si="1"/>
        <v>307.06</v>
      </c>
    </row>
    <row r="22" spans="2:20" s="45" customFormat="1" x14ac:dyDescent="0.2">
      <c r="B22" s="30">
        <v>12</v>
      </c>
      <c r="C22" s="30">
        <v>21102</v>
      </c>
      <c r="D22" s="32" t="s">
        <v>38</v>
      </c>
      <c r="E22" s="33" t="s">
        <v>51</v>
      </c>
      <c r="F22" s="66"/>
      <c r="G22" s="66">
        <v>6</v>
      </c>
      <c r="H22" s="66"/>
      <c r="I22" s="30">
        <v>2</v>
      </c>
      <c r="J22" s="30">
        <v>3</v>
      </c>
      <c r="K22" s="30"/>
      <c r="L22" s="66">
        <v>3</v>
      </c>
      <c r="M22" s="70">
        <v>3</v>
      </c>
      <c r="N22" s="66"/>
      <c r="O22" s="30">
        <v>2</v>
      </c>
      <c r="P22" s="57">
        <v>2</v>
      </c>
      <c r="Q22" s="57"/>
      <c r="R22" s="110">
        <f t="shared" si="0"/>
        <v>21</v>
      </c>
      <c r="S22" s="95">
        <v>9.8699999999999992</v>
      </c>
      <c r="T22" s="119">
        <f t="shared" si="1"/>
        <v>207.26999999999998</v>
      </c>
    </row>
    <row r="23" spans="2:20" s="45" customFormat="1" x14ac:dyDescent="0.2">
      <c r="B23" s="30">
        <v>13</v>
      </c>
      <c r="C23" s="30">
        <v>21102</v>
      </c>
      <c r="D23" s="31" t="s">
        <v>39</v>
      </c>
      <c r="E23" s="30" t="s">
        <v>51</v>
      </c>
      <c r="F23" s="66"/>
      <c r="G23" s="66">
        <v>50</v>
      </c>
      <c r="H23" s="66"/>
      <c r="I23" s="30">
        <v>50</v>
      </c>
      <c r="J23" s="30"/>
      <c r="K23" s="30"/>
      <c r="L23" s="66">
        <v>0</v>
      </c>
      <c r="M23" s="70"/>
      <c r="N23" s="66"/>
      <c r="O23" s="30">
        <v>20</v>
      </c>
      <c r="P23" s="57"/>
      <c r="Q23" s="57"/>
      <c r="R23" s="110">
        <f t="shared" si="0"/>
        <v>120</v>
      </c>
      <c r="S23" s="95">
        <f>3.63*30</f>
        <v>108.89999999999999</v>
      </c>
      <c r="T23" s="119">
        <f t="shared" si="1"/>
        <v>13067.999999999998</v>
      </c>
    </row>
    <row r="24" spans="2:20" s="45" customFormat="1" x14ac:dyDescent="0.2">
      <c r="B24" s="30">
        <v>14</v>
      </c>
      <c r="C24" s="30">
        <v>21102</v>
      </c>
      <c r="D24" s="31" t="s">
        <v>40</v>
      </c>
      <c r="E24" s="30" t="s">
        <v>51</v>
      </c>
      <c r="F24" s="66">
        <v>58</v>
      </c>
      <c r="G24" s="66">
        <f>18+25</f>
        <v>43</v>
      </c>
      <c r="H24" s="66">
        <v>8</v>
      </c>
      <c r="I24" s="30">
        <v>13</v>
      </c>
      <c r="J24" s="30">
        <v>8</v>
      </c>
      <c r="K24" s="30">
        <v>8</v>
      </c>
      <c r="L24" s="66">
        <v>22</v>
      </c>
      <c r="M24" s="70">
        <v>9</v>
      </c>
      <c r="N24" s="66">
        <v>19</v>
      </c>
      <c r="O24" s="30">
        <v>13</v>
      </c>
      <c r="P24" s="57">
        <v>8</v>
      </c>
      <c r="Q24" s="57">
        <v>8</v>
      </c>
      <c r="R24" s="110">
        <f t="shared" si="0"/>
        <v>217</v>
      </c>
      <c r="S24" s="95">
        <f>3.95*100</f>
        <v>395</v>
      </c>
      <c r="T24" s="119">
        <f t="shared" si="1"/>
        <v>85715</v>
      </c>
    </row>
    <row r="25" spans="2:20" s="45" customFormat="1" x14ac:dyDescent="0.2">
      <c r="B25" s="30">
        <v>15</v>
      </c>
      <c r="C25" s="30">
        <v>21102</v>
      </c>
      <c r="D25" s="31" t="s">
        <v>41</v>
      </c>
      <c r="E25" s="30" t="s">
        <v>52</v>
      </c>
      <c r="F25" s="66">
        <v>14</v>
      </c>
      <c r="G25" s="66">
        <v>11</v>
      </c>
      <c r="H25" s="66"/>
      <c r="I25" s="30">
        <v>10</v>
      </c>
      <c r="J25" s="30">
        <f>1+25</f>
        <v>26</v>
      </c>
      <c r="K25" s="30">
        <v>1</v>
      </c>
      <c r="L25" s="66">
        <v>20</v>
      </c>
      <c r="M25" s="70">
        <v>26</v>
      </c>
      <c r="N25" s="66">
        <v>1</v>
      </c>
      <c r="O25" s="30">
        <v>10</v>
      </c>
      <c r="P25" s="57">
        <v>26</v>
      </c>
      <c r="Q25" s="57"/>
      <c r="R25" s="110">
        <f t="shared" si="0"/>
        <v>145</v>
      </c>
      <c r="S25" s="95">
        <v>55.62</v>
      </c>
      <c r="T25" s="119">
        <f t="shared" si="1"/>
        <v>8064.9</v>
      </c>
    </row>
    <row r="26" spans="2:20" s="45" customFormat="1" x14ac:dyDescent="0.2">
      <c r="B26" s="30">
        <v>16</v>
      </c>
      <c r="C26" s="30">
        <v>21102</v>
      </c>
      <c r="D26" s="31" t="s">
        <v>42</v>
      </c>
      <c r="E26" s="30" t="s">
        <v>51</v>
      </c>
      <c r="F26" s="66">
        <v>1</v>
      </c>
      <c r="G26" s="66">
        <v>11</v>
      </c>
      <c r="H26" s="66">
        <v>25</v>
      </c>
      <c r="I26" s="30">
        <v>2</v>
      </c>
      <c r="J26" s="30">
        <v>9</v>
      </c>
      <c r="K26" s="30"/>
      <c r="L26" s="66">
        <v>5</v>
      </c>
      <c r="M26" s="70">
        <v>9</v>
      </c>
      <c r="N26" s="66"/>
      <c r="O26" s="30">
        <v>2</v>
      </c>
      <c r="P26" s="57">
        <v>11</v>
      </c>
      <c r="Q26" s="57"/>
      <c r="R26" s="110">
        <f t="shared" si="0"/>
        <v>75</v>
      </c>
      <c r="S26" s="95">
        <f>16.11*20</f>
        <v>322.2</v>
      </c>
      <c r="T26" s="119">
        <f t="shared" si="1"/>
        <v>24165</v>
      </c>
    </row>
    <row r="27" spans="2:20" s="45" customFormat="1" x14ac:dyDescent="0.2">
      <c r="B27" s="30">
        <v>17</v>
      </c>
      <c r="C27" s="30">
        <v>21102</v>
      </c>
      <c r="D27" s="31" t="s">
        <v>43</v>
      </c>
      <c r="E27" s="30" t="s">
        <v>51</v>
      </c>
      <c r="F27" s="66"/>
      <c r="G27" s="66">
        <v>10</v>
      </c>
      <c r="H27" s="66"/>
      <c r="I27" s="30">
        <v>10</v>
      </c>
      <c r="J27" s="30"/>
      <c r="K27" s="30"/>
      <c r="L27" s="66">
        <v>10</v>
      </c>
      <c r="M27" s="70"/>
      <c r="N27" s="66"/>
      <c r="O27" s="30">
        <v>5</v>
      </c>
      <c r="P27" s="57"/>
      <c r="Q27" s="57"/>
      <c r="R27" s="110">
        <f t="shared" si="0"/>
        <v>35</v>
      </c>
      <c r="S27" s="95"/>
      <c r="T27" s="119">
        <f t="shared" si="1"/>
        <v>0</v>
      </c>
    </row>
    <row r="28" spans="2:20" s="45" customFormat="1" x14ac:dyDescent="0.2">
      <c r="B28" s="30">
        <v>18</v>
      </c>
      <c r="C28" s="30">
        <v>21102</v>
      </c>
      <c r="D28" s="31" t="s">
        <v>44</v>
      </c>
      <c r="E28" s="30" t="s">
        <v>54</v>
      </c>
      <c r="F28" s="66"/>
      <c r="G28" s="66">
        <v>5</v>
      </c>
      <c r="H28" s="66"/>
      <c r="I28" s="30">
        <v>5</v>
      </c>
      <c r="J28" s="30"/>
      <c r="K28" s="30"/>
      <c r="L28" s="66">
        <v>10</v>
      </c>
      <c r="M28" s="70"/>
      <c r="N28" s="66"/>
      <c r="O28" s="30">
        <v>5</v>
      </c>
      <c r="P28" s="57"/>
      <c r="Q28" s="57"/>
      <c r="R28" s="110">
        <f t="shared" si="0"/>
        <v>25</v>
      </c>
      <c r="S28" s="95">
        <v>447.32</v>
      </c>
      <c r="T28" s="119">
        <f t="shared" si="1"/>
        <v>11183</v>
      </c>
    </row>
    <row r="29" spans="2:20" s="45" customFormat="1" x14ac:dyDescent="0.2">
      <c r="B29" s="30">
        <v>19</v>
      </c>
      <c r="C29" s="30">
        <v>21102</v>
      </c>
      <c r="D29" s="31" t="s">
        <v>45</v>
      </c>
      <c r="E29" s="30" t="s">
        <v>51</v>
      </c>
      <c r="F29" s="66">
        <v>10</v>
      </c>
      <c r="G29" s="66">
        <v>8</v>
      </c>
      <c r="H29" s="66"/>
      <c r="I29" s="30">
        <v>8</v>
      </c>
      <c r="J29" s="30">
        <v>5</v>
      </c>
      <c r="K29" s="30"/>
      <c r="L29" s="66">
        <v>6</v>
      </c>
      <c r="M29" s="70">
        <v>5</v>
      </c>
      <c r="N29" s="66"/>
      <c r="O29" s="30">
        <v>3</v>
      </c>
      <c r="P29" s="57">
        <v>5</v>
      </c>
      <c r="Q29" s="57"/>
      <c r="R29" s="110">
        <f t="shared" si="0"/>
        <v>50</v>
      </c>
      <c r="S29" s="95">
        <v>2.81</v>
      </c>
      <c r="T29" s="119">
        <f t="shared" si="1"/>
        <v>140.5</v>
      </c>
    </row>
    <row r="30" spans="2:20" s="45" customFormat="1" x14ac:dyDescent="0.2">
      <c r="B30" s="30">
        <v>20</v>
      </c>
      <c r="C30" s="30">
        <v>21102</v>
      </c>
      <c r="D30" s="31" t="s">
        <v>46</v>
      </c>
      <c r="E30" s="30" t="s">
        <v>51</v>
      </c>
      <c r="F30" s="66"/>
      <c r="G30" s="66">
        <v>5</v>
      </c>
      <c r="H30" s="66"/>
      <c r="I30" s="30">
        <v>2</v>
      </c>
      <c r="J30" s="30">
        <v>3</v>
      </c>
      <c r="K30" s="30"/>
      <c r="L30" s="66">
        <v>4</v>
      </c>
      <c r="M30" s="70">
        <v>2</v>
      </c>
      <c r="N30" s="66"/>
      <c r="O30" s="30">
        <v>2</v>
      </c>
      <c r="P30" s="57">
        <v>2</v>
      </c>
      <c r="Q30" s="57"/>
      <c r="R30" s="110">
        <f t="shared" si="0"/>
        <v>20</v>
      </c>
      <c r="S30" s="95">
        <v>0.68</v>
      </c>
      <c r="T30" s="119">
        <f t="shared" si="1"/>
        <v>13.600000000000001</v>
      </c>
    </row>
    <row r="31" spans="2:20" s="45" customFormat="1" x14ac:dyDescent="0.2">
      <c r="B31" s="30">
        <v>21</v>
      </c>
      <c r="C31" s="30">
        <v>21102</v>
      </c>
      <c r="D31" s="31" t="s">
        <v>47</v>
      </c>
      <c r="E31" s="30" t="s">
        <v>53</v>
      </c>
      <c r="F31" s="66">
        <v>40</v>
      </c>
      <c r="G31" s="66">
        <v>10</v>
      </c>
      <c r="H31" s="66"/>
      <c r="I31" s="30">
        <v>15</v>
      </c>
      <c r="J31" s="30"/>
      <c r="K31" s="30">
        <v>3</v>
      </c>
      <c r="L31" s="66">
        <v>30</v>
      </c>
      <c r="M31" s="70"/>
      <c r="N31" s="66"/>
      <c r="O31" s="30">
        <v>15</v>
      </c>
      <c r="P31" s="57"/>
      <c r="Q31" s="57"/>
      <c r="R31" s="110">
        <f t="shared" si="0"/>
        <v>113</v>
      </c>
      <c r="S31" s="95">
        <v>22.61</v>
      </c>
      <c r="T31" s="119">
        <f t="shared" si="1"/>
        <v>2554.9299999999998</v>
      </c>
    </row>
    <row r="32" spans="2:20" s="45" customFormat="1" x14ac:dyDescent="0.2">
      <c r="B32" s="30">
        <v>22</v>
      </c>
      <c r="C32" s="30">
        <v>21102</v>
      </c>
      <c r="D32" s="31" t="s">
        <v>48</v>
      </c>
      <c r="E32" s="30" t="s">
        <v>51</v>
      </c>
      <c r="F32" s="66">
        <v>10</v>
      </c>
      <c r="G32" s="66">
        <v>11</v>
      </c>
      <c r="H32" s="66"/>
      <c r="I32" s="30">
        <v>5</v>
      </c>
      <c r="J32" s="30">
        <v>6</v>
      </c>
      <c r="K32" s="30"/>
      <c r="L32" s="66">
        <v>10</v>
      </c>
      <c r="M32" s="70">
        <v>6</v>
      </c>
      <c r="N32" s="66"/>
      <c r="O32" s="30">
        <v>5</v>
      </c>
      <c r="P32" s="57">
        <v>6</v>
      </c>
      <c r="Q32" s="57"/>
      <c r="R32" s="110">
        <f t="shared" si="0"/>
        <v>59</v>
      </c>
      <c r="S32" s="95">
        <v>10.59</v>
      </c>
      <c r="T32" s="119">
        <f t="shared" si="1"/>
        <v>624.80999999999995</v>
      </c>
    </row>
    <row r="33" spans="2:20" s="45" customFormat="1" x14ac:dyDescent="0.2">
      <c r="B33" s="30">
        <v>23</v>
      </c>
      <c r="C33" s="30">
        <v>21102</v>
      </c>
      <c r="D33" s="31" t="s">
        <v>49</v>
      </c>
      <c r="E33" s="30" t="s">
        <v>52</v>
      </c>
      <c r="F33" s="66"/>
      <c r="G33" s="66">
        <v>20</v>
      </c>
      <c r="H33" s="66"/>
      <c r="I33" s="30">
        <v>10</v>
      </c>
      <c r="J33" s="30"/>
      <c r="K33" s="30"/>
      <c r="L33" s="66">
        <v>40</v>
      </c>
      <c r="M33" s="70"/>
      <c r="N33" s="66"/>
      <c r="O33" s="30">
        <v>20</v>
      </c>
      <c r="P33" s="57"/>
      <c r="Q33" s="57"/>
      <c r="R33" s="110">
        <f t="shared" si="0"/>
        <v>90</v>
      </c>
      <c r="S33" s="95">
        <v>16.46</v>
      </c>
      <c r="T33" s="119">
        <f t="shared" si="1"/>
        <v>1481.4</v>
      </c>
    </row>
    <row r="34" spans="2:20" s="45" customFormat="1" x14ac:dyDescent="0.2">
      <c r="B34" s="30">
        <v>24</v>
      </c>
      <c r="C34" s="30">
        <v>21102</v>
      </c>
      <c r="D34" s="31" t="s">
        <v>112</v>
      </c>
      <c r="E34" s="30" t="s">
        <v>51</v>
      </c>
      <c r="F34" s="66"/>
      <c r="G34" s="66">
        <v>0</v>
      </c>
      <c r="H34" s="66"/>
      <c r="I34" s="30">
        <v>0</v>
      </c>
      <c r="J34" s="30"/>
      <c r="K34" s="30"/>
      <c r="L34" s="66">
        <v>30</v>
      </c>
      <c r="M34" s="70"/>
      <c r="N34" s="66"/>
      <c r="O34" s="30">
        <v>0</v>
      </c>
      <c r="P34" s="57"/>
      <c r="Q34" s="57"/>
      <c r="R34" s="110">
        <f>+SUM(F33:Q33)</f>
        <v>90</v>
      </c>
      <c r="S34" s="95">
        <v>12.59</v>
      </c>
      <c r="T34" s="119">
        <f t="shared" si="1"/>
        <v>1133.0999999999999</v>
      </c>
    </row>
    <row r="35" spans="2:20" s="45" customFormat="1" x14ac:dyDescent="0.2">
      <c r="B35" s="30">
        <v>25</v>
      </c>
      <c r="C35" s="30">
        <v>21102</v>
      </c>
      <c r="D35" s="31" t="s">
        <v>113</v>
      </c>
      <c r="E35" s="30" t="s">
        <v>51</v>
      </c>
      <c r="F35" s="66"/>
      <c r="G35" s="66">
        <v>0</v>
      </c>
      <c r="H35" s="66"/>
      <c r="I35" s="30">
        <v>0</v>
      </c>
      <c r="J35" s="30"/>
      <c r="K35" s="30"/>
      <c r="L35" s="66">
        <v>30</v>
      </c>
      <c r="M35" s="70"/>
      <c r="N35" s="66"/>
      <c r="O35" s="30">
        <v>0</v>
      </c>
      <c r="P35" s="57"/>
      <c r="Q35" s="57"/>
      <c r="R35" s="110">
        <f>+SUM(F35:Q35)</f>
        <v>30</v>
      </c>
      <c r="S35" s="95">
        <v>18.91</v>
      </c>
      <c r="T35" s="119">
        <f t="shared" si="1"/>
        <v>567.29999999999995</v>
      </c>
    </row>
    <row r="36" spans="2:20" s="45" customFormat="1" x14ac:dyDescent="0.2">
      <c r="B36" s="30">
        <v>26</v>
      </c>
      <c r="C36" s="30">
        <v>21102</v>
      </c>
      <c r="D36" s="31" t="s">
        <v>114</v>
      </c>
      <c r="E36" s="30" t="s">
        <v>51</v>
      </c>
      <c r="F36" s="66"/>
      <c r="G36" s="66">
        <v>0</v>
      </c>
      <c r="H36" s="66"/>
      <c r="I36" s="30">
        <v>0</v>
      </c>
      <c r="J36" s="30"/>
      <c r="K36" s="30"/>
      <c r="L36" s="66">
        <v>30</v>
      </c>
      <c r="M36" s="70"/>
      <c r="N36" s="66"/>
      <c r="O36" s="30">
        <v>0</v>
      </c>
      <c r="P36" s="57"/>
      <c r="Q36" s="57"/>
      <c r="R36" s="110">
        <f>+SUM(F36:Q36)</f>
        <v>30</v>
      </c>
      <c r="S36" s="95">
        <v>29.77</v>
      </c>
      <c r="T36" s="119">
        <f t="shared" si="1"/>
        <v>893.1</v>
      </c>
    </row>
    <row r="37" spans="2:20" s="45" customFormat="1" x14ac:dyDescent="0.2">
      <c r="B37" s="30">
        <v>27</v>
      </c>
      <c r="C37" s="30">
        <v>21102</v>
      </c>
      <c r="D37" s="31" t="s">
        <v>115</v>
      </c>
      <c r="E37" s="30" t="s">
        <v>51</v>
      </c>
      <c r="F37" s="67"/>
      <c r="G37" s="67">
        <v>0</v>
      </c>
      <c r="H37" s="67"/>
      <c r="I37" s="44">
        <v>0</v>
      </c>
      <c r="J37" s="44"/>
      <c r="K37" s="44"/>
      <c r="L37" s="67">
        <v>5</v>
      </c>
      <c r="M37" s="71"/>
      <c r="N37" s="67"/>
      <c r="O37" s="44">
        <v>0</v>
      </c>
      <c r="P37" s="60"/>
      <c r="Q37" s="60"/>
      <c r="R37" s="110">
        <f t="shared" ref="R37:R42" si="2">+SUM(F37:Q37)</f>
        <v>5</v>
      </c>
      <c r="S37" s="96"/>
      <c r="T37" s="119">
        <f t="shared" si="1"/>
        <v>0</v>
      </c>
    </row>
    <row r="38" spans="2:20" s="45" customFormat="1" x14ac:dyDescent="0.2">
      <c r="B38" s="30">
        <v>28</v>
      </c>
      <c r="C38" s="30">
        <v>21102</v>
      </c>
      <c r="D38" s="43" t="s">
        <v>116</v>
      </c>
      <c r="E38" s="30" t="s">
        <v>51</v>
      </c>
      <c r="F38" s="67"/>
      <c r="G38" s="67">
        <v>0</v>
      </c>
      <c r="H38" s="67"/>
      <c r="I38" s="44">
        <v>0</v>
      </c>
      <c r="J38" s="44"/>
      <c r="K38" s="44"/>
      <c r="L38" s="67">
        <v>5</v>
      </c>
      <c r="M38" s="71"/>
      <c r="N38" s="67"/>
      <c r="O38" s="44">
        <v>0</v>
      </c>
      <c r="P38" s="60"/>
      <c r="Q38" s="60"/>
      <c r="R38" s="110">
        <f t="shared" si="2"/>
        <v>5</v>
      </c>
      <c r="S38" s="96"/>
      <c r="T38" s="119">
        <f t="shared" si="1"/>
        <v>0</v>
      </c>
    </row>
    <row r="39" spans="2:20" s="45" customFormat="1" x14ac:dyDescent="0.2">
      <c r="B39" s="30">
        <v>29</v>
      </c>
      <c r="C39" s="30">
        <v>21102</v>
      </c>
      <c r="D39" s="31" t="s">
        <v>117</v>
      </c>
      <c r="E39" s="30" t="s">
        <v>51</v>
      </c>
      <c r="F39" s="67">
        <v>10</v>
      </c>
      <c r="G39" s="67">
        <v>0</v>
      </c>
      <c r="H39" s="67"/>
      <c r="I39" s="44">
        <v>5</v>
      </c>
      <c r="J39" s="44"/>
      <c r="K39" s="44"/>
      <c r="L39" s="67">
        <v>60</v>
      </c>
      <c r="M39" s="71"/>
      <c r="N39" s="67"/>
      <c r="O39" s="44">
        <v>0</v>
      </c>
      <c r="P39" s="60"/>
      <c r="Q39" s="60"/>
      <c r="R39" s="110">
        <f t="shared" si="2"/>
        <v>75</v>
      </c>
      <c r="S39" s="96">
        <v>57.2</v>
      </c>
      <c r="T39" s="119">
        <f t="shared" si="1"/>
        <v>4290</v>
      </c>
    </row>
    <row r="40" spans="2:20" s="45" customFormat="1" x14ac:dyDescent="0.2">
      <c r="B40" s="30">
        <v>30</v>
      </c>
      <c r="C40" s="30">
        <v>21102</v>
      </c>
      <c r="D40" s="43" t="s">
        <v>181</v>
      </c>
      <c r="E40" s="44" t="s">
        <v>51</v>
      </c>
      <c r="F40" s="67"/>
      <c r="G40" s="67">
        <v>5</v>
      </c>
      <c r="H40" s="67"/>
      <c r="I40" s="44"/>
      <c r="J40" s="44"/>
      <c r="K40" s="44"/>
      <c r="L40" s="67"/>
      <c r="M40" s="71"/>
      <c r="N40" s="67"/>
      <c r="O40" s="44"/>
      <c r="P40" s="60"/>
      <c r="Q40" s="60"/>
      <c r="R40" s="110">
        <f t="shared" si="2"/>
        <v>5</v>
      </c>
      <c r="S40" s="96">
        <v>605</v>
      </c>
      <c r="T40" s="119">
        <f t="shared" si="1"/>
        <v>3025</v>
      </c>
    </row>
    <row r="41" spans="2:20" s="45" customFormat="1" x14ac:dyDescent="0.2">
      <c r="B41" s="30">
        <v>31</v>
      </c>
      <c r="C41" s="30">
        <v>21102</v>
      </c>
      <c r="D41" s="43" t="s">
        <v>182</v>
      </c>
      <c r="E41" s="44" t="s">
        <v>51</v>
      </c>
      <c r="F41" s="67"/>
      <c r="G41" s="67"/>
      <c r="H41" s="67">
        <v>6</v>
      </c>
      <c r="I41" s="44"/>
      <c r="J41" s="44"/>
      <c r="K41" s="44"/>
      <c r="L41" s="67"/>
      <c r="M41" s="71"/>
      <c r="N41" s="67"/>
      <c r="O41" s="44"/>
      <c r="P41" s="60"/>
      <c r="Q41" s="60"/>
      <c r="R41" s="110">
        <f t="shared" si="2"/>
        <v>6</v>
      </c>
      <c r="S41" s="96">
        <v>88.23</v>
      </c>
      <c r="T41" s="119">
        <f t="shared" si="1"/>
        <v>529.38</v>
      </c>
    </row>
    <row r="42" spans="2:20" s="45" customFormat="1" x14ac:dyDescent="0.2">
      <c r="B42" s="30">
        <v>32</v>
      </c>
      <c r="C42" s="30">
        <v>21102</v>
      </c>
      <c r="D42" s="43" t="s">
        <v>183</v>
      </c>
      <c r="E42" s="44" t="s">
        <v>51</v>
      </c>
      <c r="F42" s="67"/>
      <c r="G42" s="67"/>
      <c r="H42" s="67">
        <v>1</v>
      </c>
      <c r="I42" s="44"/>
      <c r="J42" s="44"/>
      <c r="K42" s="44"/>
      <c r="L42" s="67"/>
      <c r="M42" s="71"/>
      <c r="N42" s="67"/>
      <c r="O42" s="44"/>
      <c r="P42" s="60"/>
      <c r="Q42" s="60"/>
      <c r="R42" s="110">
        <f t="shared" si="2"/>
        <v>1</v>
      </c>
      <c r="S42" s="96">
        <v>105.8</v>
      </c>
      <c r="T42" s="119">
        <f t="shared" si="1"/>
        <v>105.8</v>
      </c>
    </row>
    <row r="43" spans="2:20" s="45" customFormat="1" x14ac:dyDescent="0.2">
      <c r="B43" s="30">
        <v>33</v>
      </c>
      <c r="C43" s="30">
        <v>21102</v>
      </c>
      <c r="D43" s="43" t="s">
        <v>184</v>
      </c>
      <c r="E43" s="44" t="s">
        <v>51</v>
      </c>
      <c r="F43" s="67"/>
      <c r="G43" s="67"/>
      <c r="H43" s="67">
        <v>2</v>
      </c>
      <c r="I43" s="44"/>
      <c r="J43" s="44"/>
      <c r="K43" s="44"/>
      <c r="L43" s="67"/>
      <c r="M43" s="71"/>
      <c r="N43" s="67"/>
      <c r="O43" s="44"/>
      <c r="P43" s="60"/>
      <c r="Q43" s="60"/>
      <c r="R43" s="110">
        <f t="shared" ref="R43" si="3">+SUM(F42:Q42)</f>
        <v>1</v>
      </c>
      <c r="S43" s="96">
        <v>838.53</v>
      </c>
      <c r="T43" s="119">
        <f t="shared" si="1"/>
        <v>838.53</v>
      </c>
    </row>
    <row r="44" spans="2:20" s="45" customFormat="1" x14ac:dyDescent="0.2">
      <c r="B44" s="30">
        <v>34</v>
      </c>
      <c r="C44" s="30">
        <v>21102</v>
      </c>
      <c r="D44" s="43" t="s">
        <v>244</v>
      </c>
      <c r="E44" s="44" t="s">
        <v>52</v>
      </c>
      <c r="F44" s="67"/>
      <c r="G44" s="67"/>
      <c r="H44" s="67">
        <v>2</v>
      </c>
      <c r="I44" s="44"/>
      <c r="J44" s="44"/>
      <c r="K44" s="44"/>
      <c r="L44" s="67"/>
      <c r="M44" s="71">
        <v>1</v>
      </c>
      <c r="N44" s="67"/>
      <c r="O44" s="44"/>
      <c r="P44" s="60"/>
      <c r="Q44" s="60"/>
      <c r="R44" s="110">
        <f t="shared" ref="R44:R47" si="4">+SUM(F44:Q44)</f>
        <v>3</v>
      </c>
      <c r="S44" s="96">
        <v>1141.72</v>
      </c>
      <c r="T44" s="119">
        <f t="shared" si="1"/>
        <v>3425.16</v>
      </c>
    </row>
    <row r="45" spans="2:20" s="45" customFormat="1" x14ac:dyDescent="0.2">
      <c r="B45" s="30">
        <v>35</v>
      </c>
      <c r="C45" s="30">
        <v>21102</v>
      </c>
      <c r="D45" s="43" t="s">
        <v>275</v>
      </c>
      <c r="E45" s="44" t="s">
        <v>52</v>
      </c>
      <c r="F45" s="67">
        <v>7</v>
      </c>
      <c r="G45" s="67"/>
      <c r="H45" s="67">
        <v>46</v>
      </c>
      <c r="I45" s="44"/>
      <c r="J45" s="44"/>
      <c r="K45" s="44"/>
      <c r="L45" s="67"/>
      <c r="M45" s="71"/>
      <c r="N45" s="67"/>
      <c r="O45" s="44"/>
      <c r="P45" s="60"/>
      <c r="Q45" s="60"/>
      <c r="R45" s="110">
        <f t="shared" si="4"/>
        <v>53</v>
      </c>
      <c r="S45" s="96">
        <v>3.53</v>
      </c>
      <c r="T45" s="119">
        <f t="shared" si="1"/>
        <v>187.09</v>
      </c>
    </row>
    <row r="46" spans="2:20" s="45" customFormat="1" x14ac:dyDescent="0.2">
      <c r="B46" s="30">
        <v>36</v>
      </c>
      <c r="C46" s="30">
        <v>21102</v>
      </c>
      <c r="D46" s="43" t="s">
        <v>276</v>
      </c>
      <c r="E46" s="44" t="s">
        <v>52</v>
      </c>
      <c r="F46" s="67">
        <v>40</v>
      </c>
      <c r="G46" s="67">
        <f>5+37</f>
        <v>42</v>
      </c>
      <c r="H46" s="67">
        <v>55</v>
      </c>
      <c r="I46" s="44">
        <v>80</v>
      </c>
      <c r="J46" s="44">
        <f>9+37</f>
        <v>46</v>
      </c>
      <c r="K46" s="44">
        <v>10</v>
      </c>
      <c r="L46" s="67">
        <v>12</v>
      </c>
      <c r="M46" s="71">
        <f>40+37</f>
        <v>77</v>
      </c>
      <c r="N46" s="67">
        <v>12</v>
      </c>
      <c r="O46" s="44">
        <v>12</v>
      </c>
      <c r="P46" s="60">
        <f>11+39</f>
        <v>50</v>
      </c>
      <c r="Q46" s="60">
        <v>15</v>
      </c>
      <c r="R46" s="110">
        <f t="shared" si="4"/>
        <v>451</v>
      </c>
      <c r="S46" s="96">
        <v>18.28</v>
      </c>
      <c r="T46" s="119">
        <f t="shared" si="1"/>
        <v>8244.2800000000007</v>
      </c>
    </row>
    <row r="47" spans="2:20" s="45" customFormat="1" x14ac:dyDescent="0.2">
      <c r="B47" s="30">
        <v>37</v>
      </c>
      <c r="C47" s="30">
        <v>21102</v>
      </c>
      <c r="D47" s="43" t="s">
        <v>307</v>
      </c>
      <c r="E47" s="44" t="s">
        <v>51</v>
      </c>
      <c r="F47" s="67">
        <v>10</v>
      </c>
      <c r="G47" s="67">
        <v>19</v>
      </c>
      <c r="H47" s="67"/>
      <c r="I47" s="44">
        <v>5</v>
      </c>
      <c r="J47" s="44">
        <v>19</v>
      </c>
      <c r="K47" s="44"/>
      <c r="L47" s="67"/>
      <c r="M47" s="71">
        <v>19</v>
      </c>
      <c r="N47" s="67"/>
      <c r="O47" s="44"/>
      <c r="P47" s="60">
        <v>18</v>
      </c>
      <c r="Q47" s="60"/>
      <c r="R47" s="110">
        <f t="shared" si="4"/>
        <v>90</v>
      </c>
      <c r="S47" s="96">
        <v>30.28</v>
      </c>
      <c r="T47" s="119">
        <f t="shared" si="1"/>
        <v>2725.2000000000003</v>
      </c>
    </row>
    <row r="48" spans="2:20" s="45" customFormat="1" x14ac:dyDescent="0.2">
      <c r="B48" s="30">
        <v>39</v>
      </c>
      <c r="C48" s="30">
        <v>21102</v>
      </c>
      <c r="D48" s="43" t="s">
        <v>308</v>
      </c>
      <c r="E48" s="44" t="s">
        <v>52</v>
      </c>
      <c r="F48" s="67">
        <v>12</v>
      </c>
      <c r="G48" s="67"/>
      <c r="H48" s="67"/>
      <c r="I48" s="44"/>
      <c r="J48" s="44"/>
      <c r="K48" s="44"/>
      <c r="L48" s="67"/>
      <c r="M48" s="71"/>
      <c r="N48" s="67"/>
      <c r="O48" s="44"/>
      <c r="P48" s="60"/>
      <c r="Q48" s="60"/>
      <c r="R48" s="110">
        <f t="shared" ref="R48:R50" si="5">+SUM(F48:Q48)</f>
        <v>12</v>
      </c>
      <c r="S48" s="96">
        <v>124.8</v>
      </c>
      <c r="T48" s="119">
        <f t="shared" ref="T48" si="6">+S48*R48</f>
        <v>1497.6</v>
      </c>
    </row>
    <row r="49" spans="2:20" s="45" customFormat="1" ht="25.5" x14ac:dyDescent="0.2">
      <c r="B49" s="30">
        <v>40</v>
      </c>
      <c r="C49" s="30">
        <v>21102</v>
      </c>
      <c r="D49" s="97" t="s">
        <v>309</v>
      </c>
      <c r="E49" s="44" t="s">
        <v>52</v>
      </c>
      <c r="F49" s="67">
        <v>10</v>
      </c>
      <c r="G49" s="67"/>
      <c r="H49" s="67"/>
      <c r="I49" s="44"/>
      <c r="J49" s="44"/>
      <c r="K49" s="44"/>
      <c r="L49" s="67"/>
      <c r="M49" s="71"/>
      <c r="N49" s="67"/>
      <c r="O49" s="44"/>
      <c r="P49" s="60"/>
      <c r="Q49" s="60"/>
      <c r="R49" s="110">
        <f t="shared" si="5"/>
        <v>10</v>
      </c>
      <c r="S49" s="96">
        <v>61.36</v>
      </c>
      <c r="T49" s="119">
        <f t="shared" ref="T49:T50" si="7">+S49*R49</f>
        <v>613.6</v>
      </c>
    </row>
    <row r="50" spans="2:20" s="45" customFormat="1" x14ac:dyDescent="0.2">
      <c r="B50" s="30">
        <v>41</v>
      </c>
      <c r="C50" s="30">
        <v>21102</v>
      </c>
      <c r="D50" s="43" t="s">
        <v>310</v>
      </c>
      <c r="E50" s="44" t="s">
        <v>52</v>
      </c>
      <c r="F50" s="67">
        <v>4</v>
      </c>
      <c r="G50" s="67">
        <f>3+12</f>
        <v>15</v>
      </c>
      <c r="H50" s="67">
        <v>3</v>
      </c>
      <c r="I50" s="44">
        <v>8</v>
      </c>
      <c r="J50" s="44">
        <f>3+12</f>
        <v>15</v>
      </c>
      <c r="K50" s="44">
        <v>3</v>
      </c>
      <c r="L50" s="67">
        <v>3</v>
      </c>
      <c r="M50" s="71">
        <f>3+12</f>
        <v>15</v>
      </c>
      <c r="N50" s="67">
        <v>3</v>
      </c>
      <c r="O50" s="44">
        <v>3</v>
      </c>
      <c r="P50" s="60">
        <f>3+14</f>
        <v>17</v>
      </c>
      <c r="Q50" s="60">
        <v>3</v>
      </c>
      <c r="R50" s="110">
        <f t="shared" si="5"/>
        <v>92</v>
      </c>
      <c r="S50" s="61">
        <v>31.2</v>
      </c>
      <c r="T50" s="119">
        <f t="shared" si="7"/>
        <v>2870.4</v>
      </c>
    </row>
    <row r="51" spans="2:20" s="45" customFormat="1" x14ac:dyDescent="0.2">
      <c r="B51" s="44">
        <v>42</v>
      </c>
      <c r="C51" s="30">
        <v>21102</v>
      </c>
      <c r="D51" s="43" t="s">
        <v>311</v>
      </c>
      <c r="E51" s="44" t="s">
        <v>52</v>
      </c>
      <c r="F51" s="67">
        <v>4</v>
      </c>
      <c r="G51" s="67"/>
      <c r="H51" s="67"/>
      <c r="I51" s="44"/>
      <c r="J51" s="44">
        <v>1</v>
      </c>
      <c r="K51" s="44"/>
      <c r="L51" s="67"/>
      <c r="M51" s="71"/>
      <c r="N51" s="67"/>
      <c r="O51" s="44"/>
      <c r="P51" s="60"/>
      <c r="Q51" s="60"/>
      <c r="R51" s="111">
        <f t="shared" ref="R51:R84" si="8">+SUM(F51:Q51)</f>
        <v>5</v>
      </c>
      <c r="S51" s="61">
        <v>373.36</v>
      </c>
      <c r="T51" s="120">
        <f t="shared" ref="T51:T84" si="9">+S51*R51</f>
        <v>1866.8000000000002</v>
      </c>
    </row>
    <row r="52" spans="2:20" s="45" customFormat="1" x14ac:dyDescent="0.2">
      <c r="B52" s="30">
        <v>43</v>
      </c>
      <c r="C52" s="30">
        <v>21102</v>
      </c>
      <c r="D52" s="104" t="s">
        <v>349</v>
      </c>
      <c r="E52" s="104" t="s">
        <v>51</v>
      </c>
      <c r="F52" s="104">
        <v>1</v>
      </c>
      <c r="G52" s="105"/>
      <c r="H52" s="105"/>
      <c r="I52" s="105"/>
      <c r="J52" s="105"/>
      <c r="K52" s="105"/>
      <c r="L52" s="104">
        <v>1</v>
      </c>
      <c r="M52" s="105"/>
      <c r="N52" s="105"/>
      <c r="O52" s="105"/>
      <c r="P52" s="105"/>
      <c r="Q52" s="105"/>
      <c r="R52" s="111">
        <f t="shared" si="8"/>
        <v>2</v>
      </c>
      <c r="S52" s="61">
        <v>1200</v>
      </c>
      <c r="T52" s="123">
        <f t="shared" si="9"/>
        <v>2400</v>
      </c>
    </row>
    <row r="53" spans="2:20" s="45" customFormat="1" ht="25.5" x14ac:dyDescent="0.2">
      <c r="B53" s="30">
        <v>44</v>
      </c>
      <c r="C53" s="30">
        <v>21102</v>
      </c>
      <c r="D53" s="104" t="s">
        <v>350</v>
      </c>
      <c r="E53" s="104" t="s">
        <v>51</v>
      </c>
      <c r="F53" s="104">
        <v>5</v>
      </c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11">
        <f t="shared" si="8"/>
        <v>5</v>
      </c>
      <c r="S53" s="61">
        <v>90</v>
      </c>
      <c r="T53" s="120">
        <f t="shared" si="9"/>
        <v>450</v>
      </c>
    </row>
    <row r="54" spans="2:20" s="45" customFormat="1" x14ac:dyDescent="0.2">
      <c r="B54" s="30">
        <v>45</v>
      </c>
      <c r="C54" s="30">
        <v>21102</v>
      </c>
      <c r="D54" s="104" t="s">
        <v>351</v>
      </c>
      <c r="E54" s="104" t="s">
        <v>51</v>
      </c>
      <c r="F54" s="104">
        <v>5</v>
      </c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11">
        <f t="shared" si="8"/>
        <v>5</v>
      </c>
      <c r="S54" s="61">
        <v>280</v>
      </c>
      <c r="T54" s="120">
        <f t="shared" si="9"/>
        <v>1400</v>
      </c>
    </row>
    <row r="55" spans="2:20" s="45" customFormat="1" ht="25.5" x14ac:dyDescent="0.2">
      <c r="B55" s="30">
        <v>46</v>
      </c>
      <c r="C55" s="30">
        <v>21102</v>
      </c>
      <c r="D55" s="104" t="s">
        <v>352</v>
      </c>
      <c r="E55" s="104" t="s">
        <v>52</v>
      </c>
      <c r="F55" s="104">
        <v>5</v>
      </c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11">
        <f t="shared" si="8"/>
        <v>5</v>
      </c>
      <c r="S55" s="61">
        <v>25</v>
      </c>
      <c r="T55" s="120">
        <f t="shared" si="9"/>
        <v>125</v>
      </c>
    </row>
    <row r="56" spans="2:20" s="45" customFormat="1" ht="25.5" x14ac:dyDescent="0.2">
      <c r="B56" s="30">
        <v>47</v>
      </c>
      <c r="C56" s="30">
        <v>21102</v>
      </c>
      <c r="D56" s="104" t="s">
        <v>353</v>
      </c>
      <c r="E56" s="104" t="s">
        <v>52</v>
      </c>
      <c r="F56" s="104">
        <v>5</v>
      </c>
      <c r="G56" s="105"/>
      <c r="H56" s="105"/>
      <c r="I56" s="105">
        <v>9</v>
      </c>
      <c r="J56" s="105"/>
      <c r="K56" s="105"/>
      <c r="L56" s="105"/>
      <c r="M56" s="105"/>
      <c r="N56" s="105"/>
      <c r="O56" s="105"/>
      <c r="P56" s="105"/>
      <c r="Q56" s="105"/>
      <c r="R56" s="111">
        <f t="shared" si="8"/>
        <v>14</v>
      </c>
      <c r="S56" s="61">
        <v>65</v>
      </c>
      <c r="T56" s="120">
        <f t="shared" si="9"/>
        <v>910</v>
      </c>
    </row>
    <row r="57" spans="2:20" s="45" customFormat="1" x14ac:dyDescent="0.2">
      <c r="B57" s="30">
        <v>48</v>
      </c>
      <c r="C57" s="30">
        <v>21102</v>
      </c>
      <c r="D57" s="104" t="s">
        <v>354</v>
      </c>
      <c r="E57" s="104" t="s">
        <v>51</v>
      </c>
      <c r="F57" s="104">
        <v>6</v>
      </c>
      <c r="G57" s="105"/>
      <c r="H57" s="105"/>
      <c r="I57" s="105">
        <v>8</v>
      </c>
      <c r="J57" s="105"/>
      <c r="K57" s="105"/>
      <c r="L57" s="105"/>
      <c r="M57" s="105"/>
      <c r="N57" s="105"/>
      <c r="O57" s="105"/>
      <c r="P57" s="105"/>
      <c r="Q57" s="105"/>
      <c r="R57" s="111">
        <f t="shared" si="8"/>
        <v>14</v>
      </c>
      <c r="S57" s="61">
        <v>27.17</v>
      </c>
      <c r="T57" s="120">
        <f t="shared" si="9"/>
        <v>380.38</v>
      </c>
    </row>
    <row r="58" spans="2:20" x14ac:dyDescent="0.2">
      <c r="B58" s="30">
        <v>49</v>
      </c>
      <c r="C58" s="30">
        <v>21102</v>
      </c>
      <c r="D58" s="104" t="s">
        <v>355</v>
      </c>
      <c r="E58" s="104" t="s">
        <v>52</v>
      </c>
      <c r="F58" s="104">
        <v>1</v>
      </c>
      <c r="G58" s="105">
        <v>4</v>
      </c>
      <c r="H58" s="104">
        <v>1</v>
      </c>
      <c r="I58" s="105">
        <v>13</v>
      </c>
      <c r="J58" s="105"/>
      <c r="K58" s="104">
        <v>1</v>
      </c>
      <c r="L58" s="105"/>
      <c r="M58" s="104">
        <v>1</v>
      </c>
      <c r="N58" s="105"/>
      <c r="O58" s="104">
        <v>1</v>
      </c>
      <c r="P58" s="105"/>
      <c r="Q58" s="105"/>
      <c r="R58" s="111">
        <f t="shared" si="8"/>
        <v>22</v>
      </c>
      <c r="S58" s="61">
        <v>20</v>
      </c>
      <c r="T58" s="120">
        <f t="shared" si="9"/>
        <v>440</v>
      </c>
    </row>
    <row r="59" spans="2:20" x14ac:dyDescent="0.2">
      <c r="B59" s="30">
        <v>50</v>
      </c>
      <c r="C59" s="30">
        <v>21102</v>
      </c>
      <c r="D59" s="104" t="s">
        <v>356</v>
      </c>
      <c r="E59" s="104" t="s">
        <v>51</v>
      </c>
      <c r="F59" s="104">
        <v>1</v>
      </c>
      <c r="G59" s="105"/>
      <c r="H59" s="104">
        <v>1</v>
      </c>
      <c r="I59" s="105">
        <v>8</v>
      </c>
      <c r="J59" s="104">
        <v>1</v>
      </c>
      <c r="K59" s="105"/>
      <c r="L59" s="104">
        <v>1</v>
      </c>
      <c r="M59" s="105"/>
      <c r="N59" s="104">
        <v>1</v>
      </c>
      <c r="O59" s="105"/>
      <c r="P59" s="105"/>
      <c r="Q59" s="105"/>
      <c r="R59" s="111">
        <f t="shared" si="8"/>
        <v>13</v>
      </c>
      <c r="S59" s="61">
        <v>40</v>
      </c>
      <c r="T59" s="120">
        <f t="shared" si="9"/>
        <v>520</v>
      </c>
    </row>
    <row r="60" spans="2:20" x14ac:dyDescent="0.2">
      <c r="B60" s="30">
        <v>51</v>
      </c>
      <c r="C60" s="30">
        <v>21102</v>
      </c>
      <c r="D60" s="57" t="s">
        <v>357</v>
      </c>
      <c r="E60" s="57" t="s">
        <v>52</v>
      </c>
      <c r="F60" s="106">
        <v>8</v>
      </c>
      <c r="G60" s="107">
        <v>1</v>
      </c>
      <c r="H60" s="106"/>
      <c r="I60" s="107">
        <v>8</v>
      </c>
      <c r="J60" s="106">
        <v>1</v>
      </c>
      <c r="K60" s="106"/>
      <c r="L60" s="106"/>
      <c r="M60" s="106">
        <v>1</v>
      </c>
      <c r="N60" s="106"/>
      <c r="O60" s="107"/>
      <c r="P60" s="106">
        <v>1</v>
      </c>
      <c r="Q60" s="106"/>
      <c r="R60" s="111">
        <f t="shared" si="8"/>
        <v>20</v>
      </c>
      <c r="S60" s="61">
        <v>589</v>
      </c>
      <c r="T60" s="120">
        <f t="shared" si="9"/>
        <v>11780</v>
      </c>
    </row>
    <row r="61" spans="2:20" x14ac:dyDescent="0.2">
      <c r="B61" s="30">
        <v>52</v>
      </c>
      <c r="C61" s="30">
        <v>21102</v>
      </c>
      <c r="D61" s="57" t="s">
        <v>358</v>
      </c>
      <c r="E61" s="57" t="s">
        <v>52</v>
      </c>
      <c r="F61" s="106">
        <v>14</v>
      </c>
      <c r="G61" s="107">
        <v>1</v>
      </c>
      <c r="H61" s="106"/>
      <c r="I61" s="107">
        <v>11</v>
      </c>
      <c r="J61" s="106">
        <v>1</v>
      </c>
      <c r="K61" s="106"/>
      <c r="L61" s="106"/>
      <c r="M61" s="106">
        <v>1</v>
      </c>
      <c r="N61" s="106"/>
      <c r="O61" s="107"/>
      <c r="P61" s="106">
        <v>1</v>
      </c>
      <c r="Q61" s="106"/>
      <c r="R61" s="111">
        <f t="shared" si="8"/>
        <v>29</v>
      </c>
      <c r="S61" s="61">
        <v>300</v>
      </c>
      <c r="T61" s="120">
        <f t="shared" si="9"/>
        <v>8700</v>
      </c>
    </row>
    <row r="62" spans="2:20" x14ac:dyDescent="0.2">
      <c r="B62" s="30">
        <v>53</v>
      </c>
      <c r="C62" s="30">
        <v>21102</v>
      </c>
      <c r="D62" s="57" t="s">
        <v>359</v>
      </c>
      <c r="E62" s="57" t="s">
        <v>51</v>
      </c>
      <c r="F62" s="106">
        <v>21</v>
      </c>
      <c r="G62" s="107"/>
      <c r="H62" s="106"/>
      <c r="I62" s="107">
        <v>7</v>
      </c>
      <c r="J62" s="106">
        <v>10</v>
      </c>
      <c r="K62" s="106"/>
      <c r="L62" s="106"/>
      <c r="M62" s="106"/>
      <c r="N62" s="106">
        <v>12</v>
      </c>
      <c r="O62" s="107"/>
      <c r="P62" s="106"/>
      <c r="Q62" s="106"/>
      <c r="R62" s="111">
        <f t="shared" si="8"/>
        <v>50</v>
      </c>
      <c r="S62" s="61">
        <v>897.55</v>
      </c>
      <c r="T62" s="120">
        <f t="shared" si="9"/>
        <v>44877.5</v>
      </c>
    </row>
    <row r="63" spans="2:20" x14ac:dyDescent="0.2">
      <c r="B63" s="30">
        <v>54</v>
      </c>
      <c r="C63" s="30">
        <v>21102</v>
      </c>
      <c r="D63" s="57" t="s">
        <v>360</v>
      </c>
      <c r="E63" s="57" t="s">
        <v>52</v>
      </c>
      <c r="F63" s="106">
        <v>15</v>
      </c>
      <c r="G63" s="107">
        <v>1</v>
      </c>
      <c r="H63" s="106"/>
      <c r="I63" s="107">
        <v>9</v>
      </c>
      <c r="J63" s="106">
        <v>1</v>
      </c>
      <c r="K63" s="106"/>
      <c r="L63" s="106"/>
      <c r="M63" s="106">
        <v>1</v>
      </c>
      <c r="N63" s="106"/>
      <c r="O63" s="107"/>
      <c r="P63" s="106">
        <v>1</v>
      </c>
      <c r="Q63" s="106"/>
      <c r="R63" s="111">
        <f t="shared" si="8"/>
        <v>28</v>
      </c>
      <c r="S63" s="61">
        <v>190</v>
      </c>
      <c r="T63" s="120">
        <f t="shared" si="9"/>
        <v>5320</v>
      </c>
    </row>
    <row r="64" spans="2:20" ht="38.25" x14ac:dyDescent="0.2">
      <c r="B64" s="30">
        <v>55</v>
      </c>
      <c r="C64" s="30">
        <v>21102</v>
      </c>
      <c r="D64" s="125" t="s">
        <v>361</v>
      </c>
      <c r="E64" s="60" t="s">
        <v>51</v>
      </c>
      <c r="F64" s="126">
        <v>1</v>
      </c>
      <c r="G64" s="127"/>
      <c r="H64" s="126"/>
      <c r="I64" s="127">
        <v>19</v>
      </c>
      <c r="J64" s="126"/>
      <c r="K64" s="126">
        <v>1</v>
      </c>
      <c r="L64" s="126"/>
      <c r="M64" s="126">
        <v>1</v>
      </c>
      <c r="N64" s="126"/>
      <c r="O64" s="127"/>
      <c r="P64" s="126">
        <v>1</v>
      </c>
      <c r="Q64" s="126"/>
      <c r="R64" s="111">
        <f t="shared" si="8"/>
        <v>23</v>
      </c>
      <c r="S64" s="61">
        <v>192.5</v>
      </c>
      <c r="T64" s="120">
        <f t="shared" si="9"/>
        <v>4427.5</v>
      </c>
    </row>
    <row r="65" spans="2:20" ht="51" x14ac:dyDescent="0.2">
      <c r="B65" s="30">
        <v>56</v>
      </c>
      <c r="C65" s="30">
        <v>21102</v>
      </c>
      <c r="D65" s="104" t="s">
        <v>431</v>
      </c>
      <c r="E65" s="104" t="s">
        <v>432</v>
      </c>
      <c r="F65" s="104">
        <v>35</v>
      </c>
      <c r="G65" s="104">
        <v>0</v>
      </c>
      <c r="H65" s="104">
        <v>0</v>
      </c>
      <c r="I65" s="104">
        <v>42</v>
      </c>
      <c r="J65" s="104">
        <v>0</v>
      </c>
      <c r="K65" s="104">
        <v>0</v>
      </c>
      <c r="L65" s="104">
        <v>0</v>
      </c>
      <c r="M65" s="104">
        <v>35</v>
      </c>
      <c r="N65" s="104">
        <v>0</v>
      </c>
      <c r="O65" s="104">
        <v>0</v>
      </c>
      <c r="P65" s="104">
        <v>35</v>
      </c>
      <c r="Q65" s="104">
        <v>0</v>
      </c>
      <c r="R65" s="104">
        <v>140</v>
      </c>
      <c r="S65" s="104" t="s">
        <v>433</v>
      </c>
      <c r="T65" s="104" t="s">
        <v>434</v>
      </c>
    </row>
    <row r="66" spans="2:20" ht="51" x14ac:dyDescent="0.2">
      <c r="B66" s="30">
        <v>57</v>
      </c>
      <c r="C66" s="30">
        <v>21102</v>
      </c>
      <c r="D66" s="104" t="s">
        <v>435</v>
      </c>
      <c r="E66" s="104" t="s">
        <v>432</v>
      </c>
      <c r="F66" s="104">
        <v>35</v>
      </c>
      <c r="G66" s="104">
        <v>0</v>
      </c>
      <c r="H66" s="104">
        <v>0</v>
      </c>
      <c r="I66" s="104">
        <v>35</v>
      </c>
      <c r="J66" s="104">
        <v>0</v>
      </c>
      <c r="K66" s="104">
        <v>0</v>
      </c>
      <c r="L66" s="104">
        <v>0</v>
      </c>
      <c r="M66" s="104">
        <v>35</v>
      </c>
      <c r="N66" s="104">
        <v>0</v>
      </c>
      <c r="O66" s="104">
        <v>0</v>
      </c>
      <c r="P66" s="104">
        <v>35</v>
      </c>
      <c r="Q66" s="104">
        <v>0</v>
      </c>
      <c r="R66" s="104">
        <v>140</v>
      </c>
      <c r="S66" s="104" t="s">
        <v>436</v>
      </c>
      <c r="T66" s="104" t="s">
        <v>437</v>
      </c>
    </row>
    <row r="67" spans="2:20" ht="25.5" x14ac:dyDescent="0.2">
      <c r="B67" s="30">
        <v>58</v>
      </c>
      <c r="C67" s="30">
        <v>21102</v>
      </c>
      <c r="D67" s="104" t="s">
        <v>438</v>
      </c>
      <c r="E67" s="104" t="s">
        <v>432</v>
      </c>
      <c r="F67" s="104">
        <v>5</v>
      </c>
      <c r="G67" s="104">
        <v>0</v>
      </c>
      <c r="H67" s="104">
        <v>0</v>
      </c>
      <c r="I67" s="104">
        <v>5</v>
      </c>
      <c r="J67" s="104">
        <v>7</v>
      </c>
      <c r="K67" s="104">
        <v>0</v>
      </c>
      <c r="L67" s="104">
        <v>0</v>
      </c>
      <c r="M67" s="104">
        <v>5</v>
      </c>
      <c r="N67" s="104">
        <v>0</v>
      </c>
      <c r="O67" s="104">
        <v>0</v>
      </c>
      <c r="P67" s="104">
        <v>5</v>
      </c>
      <c r="Q67" s="104">
        <v>0</v>
      </c>
      <c r="R67" s="104">
        <v>19</v>
      </c>
      <c r="S67" s="104" t="s">
        <v>439</v>
      </c>
      <c r="T67" s="104" t="s">
        <v>440</v>
      </c>
    </row>
    <row r="68" spans="2:20" ht="25.5" x14ac:dyDescent="0.2">
      <c r="B68" s="30">
        <v>59</v>
      </c>
      <c r="C68" s="30">
        <v>21102</v>
      </c>
      <c r="D68" s="103" t="s">
        <v>441</v>
      </c>
      <c r="E68" s="103" t="s">
        <v>432</v>
      </c>
      <c r="F68" s="126">
        <v>8</v>
      </c>
      <c r="G68" s="127">
        <v>1</v>
      </c>
      <c r="H68" s="106"/>
      <c r="I68" s="126">
        <v>2</v>
      </c>
      <c r="J68" s="106">
        <v>12</v>
      </c>
      <c r="K68" s="106"/>
      <c r="L68" s="106"/>
      <c r="M68" s="126">
        <v>3</v>
      </c>
      <c r="N68" s="106"/>
      <c r="O68" s="107"/>
      <c r="P68" s="106">
        <v>1</v>
      </c>
      <c r="Q68" s="106"/>
      <c r="R68" s="111"/>
      <c r="S68" s="61"/>
      <c r="T68" s="120"/>
    </row>
    <row r="69" spans="2:20" ht="38.25" x14ac:dyDescent="0.2">
      <c r="B69" s="30">
        <v>60</v>
      </c>
      <c r="C69" s="30">
        <v>21102</v>
      </c>
      <c r="D69" s="104" t="s">
        <v>442</v>
      </c>
      <c r="E69" s="104" t="s">
        <v>432</v>
      </c>
      <c r="F69" s="106">
        <v>5</v>
      </c>
      <c r="G69" s="107">
        <v>1</v>
      </c>
      <c r="H69" s="106"/>
      <c r="I69" s="106">
        <v>5</v>
      </c>
      <c r="J69" s="106">
        <v>12</v>
      </c>
      <c r="K69" s="106"/>
      <c r="L69" s="106"/>
      <c r="M69" s="106">
        <v>6</v>
      </c>
      <c r="N69" s="106"/>
      <c r="O69" s="107"/>
      <c r="P69" s="106">
        <v>1</v>
      </c>
      <c r="Q69" s="106"/>
      <c r="R69" s="111"/>
      <c r="S69" s="61"/>
      <c r="T69" s="120"/>
    </row>
    <row r="70" spans="2:20" x14ac:dyDescent="0.2">
      <c r="B70" s="30">
        <v>61</v>
      </c>
      <c r="C70" s="30">
        <v>21102</v>
      </c>
      <c r="D70" s="104" t="s">
        <v>443</v>
      </c>
      <c r="E70" s="104" t="s">
        <v>432</v>
      </c>
      <c r="F70" s="106">
        <v>6</v>
      </c>
      <c r="G70" s="107"/>
      <c r="H70" s="106"/>
      <c r="I70" s="106">
        <v>6</v>
      </c>
      <c r="J70" s="106">
        <v>9</v>
      </c>
      <c r="K70" s="106"/>
      <c r="L70" s="106"/>
      <c r="M70" s="106">
        <v>6</v>
      </c>
      <c r="N70" s="106"/>
      <c r="O70" s="107"/>
      <c r="P70" s="106"/>
      <c r="Q70" s="106"/>
      <c r="R70" s="111"/>
      <c r="S70" s="61"/>
      <c r="T70" s="120"/>
    </row>
    <row r="71" spans="2:20" ht="38.25" x14ac:dyDescent="0.2">
      <c r="B71" s="30">
        <v>62</v>
      </c>
      <c r="C71" s="30">
        <v>21102</v>
      </c>
      <c r="D71" s="104" t="s">
        <v>444</v>
      </c>
      <c r="E71" s="104" t="s">
        <v>432</v>
      </c>
      <c r="F71" s="106">
        <v>6</v>
      </c>
      <c r="G71" s="107">
        <v>3</v>
      </c>
      <c r="H71" s="106"/>
      <c r="I71" s="106">
        <v>6</v>
      </c>
      <c r="J71" s="106">
        <v>7</v>
      </c>
      <c r="K71" s="106"/>
      <c r="L71" s="106"/>
      <c r="M71" s="106">
        <v>9</v>
      </c>
      <c r="N71" s="106"/>
      <c r="O71" s="107"/>
      <c r="P71" s="106">
        <v>4</v>
      </c>
      <c r="Q71" s="106"/>
      <c r="R71" s="111"/>
      <c r="S71" s="61"/>
      <c r="T71" s="120"/>
    </row>
    <row r="72" spans="2:20" ht="25.5" x14ac:dyDescent="0.2">
      <c r="B72" s="30">
        <v>63</v>
      </c>
      <c r="C72" s="30">
        <v>21102</v>
      </c>
      <c r="D72" s="104" t="s">
        <v>445</v>
      </c>
      <c r="E72" s="104" t="s">
        <v>432</v>
      </c>
      <c r="F72" s="106">
        <v>18</v>
      </c>
      <c r="G72" s="107">
        <v>3</v>
      </c>
      <c r="H72" s="106"/>
      <c r="I72" s="106">
        <v>18</v>
      </c>
      <c r="J72" s="106">
        <v>3</v>
      </c>
      <c r="K72" s="106">
        <v>2</v>
      </c>
      <c r="L72" s="106"/>
      <c r="M72" s="106">
        <v>21</v>
      </c>
      <c r="N72" s="106"/>
      <c r="O72" s="107"/>
      <c r="P72" s="106">
        <v>3</v>
      </c>
      <c r="Q72" s="106"/>
      <c r="R72" s="111"/>
      <c r="S72" s="61"/>
      <c r="T72" s="120"/>
    </row>
    <row r="73" spans="2:20" ht="38.25" x14ac:dyDescent="0.2">
      <c r="B73" s="30">
        <v>64</v>
      </c>
      <c r="C73" s="30">
        <v>21102</v>
      </c>
      <c r="D73" s="104" t="s">
        <v>446</v>
      </c>
      <c r="E73" s="104" t="s">
        <v>432</v>
      </c>
      <c r="F73" s="106">
        <v>5</v>
      </c>
      <c r="G73" s="107"/>
      <c r="H73" s="106"/>
      <c r="I73" s="106">
        <v>5</v>
      </c>
      <c r="J73" s="106"/>
      <c r="K73" s="106">
        <v>3</v>
      </c>
      <c r="L73" s="106"/>
      <c r="M73" s="106">
        <v>5</v>
      </c>
      <c r="N73" s="106"/>
      <c r="O73" s="107"/>
      <c r="P73" s="106"/>
      <c r="Q73" s="106"/>
      <c r="R73" s="111"/>
      <c r="S73" s="61"/>
      <c r="T73" s="120"/>
    </row>
    <row r="74" spans="2:20" x14ac:dyDescent="0.2">
      <c r="B74" s="30">
        <v>65</v>
      </c>
      <c r="C74" s="30">
        <v>21102</v>
      </c>
      <c r="D74" s="104" t="s">
        <v>447</v>
      </c>
      <c r="E74" s="104" t="s">
        <v>432</v>
      </c>
      <c r="F74" s="106">
        <v>10</v>
      </c>
      <c r="G74" s="107"/>
      <c r="H74" s="106"/>
      <c r="I74" s="106">
        <v>10</v>
      </c>
      <c r="J74" s="106"/>
      <c r="K74" s="106">
        <v>12</v>
      </c>
      <c r="L74" s="106"/>
      <c r="M74" s="106">
        <v>10</v>
      </c>
      <c r="N74" s="106"/>
      <c r="O74" s="107"/>
      <c r="P74" s="106"/>
      <c r="Q74" s="106"/>
      <c r="R74" s="111"/>
      <c r="S74" s="61"/>
      <c r="T74" s="120"/>
    </row>
    <row r="75" spans="2:20" ht="38.25" x14ac:dyDescent="0.2">
      <c r="B75" s="30">
        <v>66</v>
      </c>
      <c r="C75" s="30">
        <v>21102</v>
      </c>
      <c r="D75" s="104" t="s">
        <v>448</v>
      </c>
      <c r="E75" s="104" t="s">
        <v>432</v>
      </c>
      <c r="F75" s="106">
        <v>30</v>
      </c>
      <c r="G75" s="107"/>
      <c r="H75" s="106"/>
      <c r="I75" s="106">
        <v>30</v>
      </c>
      <c r="J75" s="106"/>
      <c r="K75" s="106">
        <v>18</v>
      </c>
      <c r="L75" s="106"/>
      <c r="M75" s="106">
        <v>30</v>
      </c>
      <c r="N75" s="106"/>
      <c r="O75" s="107"/>
      <c r="P75" s="106"/>
      <c r="Q75" s="106"/>
      <c r="R75" s="111"/>
      <c r="S75" s="61"/>
      <c r="T75" s="120"/>
    </row>
    <row r="76" spans="2:20" ht="25.5" x14ac:dyDescent="0.2">
      <c r="B76" s="30">
        <v>67</v>
      </c>
      <c r="C76" s="30">
        <v>21102</v>
      </c>
      <c r="D76" s="104" t="s">
        <v>449</v>
      </c>
      <c r="E76" s="104" t="s">
        <v>432</v>
      </c>
      <c r="F76" s="106">
        <v>5</v>
      </c>
      <c r="G76" s="107"/>
      <c r="H76" s="106"/>
      <c r="I76" s="106">
        <v>5</v>
      </c>
      <c r="J76" s="106"/>
      <c r="K76" s="106">
        <v>6</v>
      </c>
      <c r="L76" s="106"/>
      <c r="M76" s="106">
        <v>5</v>
      </c>
      <c r="N76" s="106"/>
      <c r="O76" s="107"/>
      <c r="P76" s="106"/>
      <c r="Q76" s="106"/>
      <c r="R76" s="111"/>
      <c r="S76" s="61"/>
      <c r="T76" s="120"/>
    </row>
    <row r="77" spans="2:20" ht="25.5" x14ac:dyDescent="0.2">
      <c r="B77" s="30">
        <v>68</v>
      </c>
      <c r="C77" s="30">
        <v>21102</v>
      </c>
      <c r="D77" s="104" t="s">
        <v>450</v>
      </c>
      <c r="E77" s="104" t="s">
        <v>432</v>
      </c>
      <c r="F77" s="106">
        <v>5</v>
      </c>
      <c r="G77" s="107">
        <v>1</v>
      </c>
      <c r="H77" s="106"/>
      <c r="I77" s="106">
        <v>5</v>
      </c>
      <c r="J77" s="106">
        <v>1</v>
      </c>
      <c r="K77" s="106">
        <v>9</v>
      </c>
      <c r="L77" s="106"/>
      <c r="M77" s="106">
        <v>6</v>
      </c>
      <c r="N77" s="106"/>
      <c r="O77" s="107"/>
      <c r="P77" s="106">
        <v>1</v>
      </c>
      <c r="Q77" s="106"/>
      <c r="R77" s="111"/>
      <c r="S77" s="61"/>
      <c r="T77" s="120"/>
    </row>
    <row r="78" spans="2:20" ht="38.25" x14ac:dyDescent="0.2">
      <c r="B78" s="30">
        <v>69</v>
      </c>
      <c r="C78" s="30">
        <v>21102</v>
      </c>
      <c r="D78" s="104" t="s">
        <v>451</v>
      </c>
      <c r="E78" s="104" t="s">
        <v>432</v>
      </c>
      <c r="F78" s="106">
        <v>18</v>
      </c>
      <c r="G78" s="107">
        <v>4</v>
      </c>
      <c r="H78" s="106"/>
      <c r="I78" s="106">
        <v>18</v>
      </c>
      <c r="J78" s="106">
        <v>4</v>
      </c>
      <c r="K78" s="106">
        <v>7</v>
      </c>
      <c r="L78" s="106"/>
      <c r="M78" s="106">
        <v>22</v>
      </c>
      <c r="N78" s="106"/>
      <c r="O78" s="107"/>
      <c r="P78" s="106">
        <v>3</v>
      </c>
      <c r="Q78" s="106"/>
      <c r="R78" s="111"/>
      <c r="S78" s="61"/>
      <c r="T78" s="120"/>
    </row>
    <row r="79" spans="2:20" ht="25.5" x14ac:dyDescent="0.2">
      <c r="B79" s="30">
        <v>70</v>
      </c>
      <c r="C79" s="30">
        <v>21102</v>
      </c>
      <c r="D79" s="104" t="s">
        <v>452</v>
      </c>
      <c r="E79" s="104" t="s">
        <v>432</v>
      </c>
      <c r="F79" s="106">
        <v>6</v>
      </c>
      <c r="G79" s="107">
        <v>3</v>
      </c>
      <c r="H79" s="106"/>
      <c r="I79" s="106">
        <v>6</v>
      </c>
      <c r="J79" s="106">
        <v>3</v>
      </c>
      <c r="K79" s="106"/>
      <c r="L79" s="106"/>
      <c r="M79" s="106">
        <v>10</v>
      </c>
      <c r="N79" s="106"/>
      <c r="O79" s="107"/>
      <c r="P79" s="106">
        <v>7</v>
      </c>
      <c r="Q79" s="106"/>
      <c r="R79" s="111"/>
      <c r="S79" s="61"/>
      <c r="T79" s="120"/>
    </row>
    <row r="80" spans="2:20" ht="38.25" x14ac:dyDescent="0.2">
      <c r="B80" s="30">
        <v>71</v>
      </c>
      <c r="C80" s="30">
        <v>21102</v>
      </c>
      <c r="D80" s="104" t="s">
        <v>453</v>
      </c>
      <c r="E80" s="104" t="s">
        <v>432</v>
      </c>
      <c r="F80" s="106">
        <v>20</v>
      </c>
      <c r="G80" s="107"/>
      <c r="H80" s="106"/>
      <c r="I80" s="106">
        <v>5</v>
      </c>
      <c r="J80" s="106"/>
      <c r="K80" s="106"/>
      <c r="L80" s="106"/>
      <c r="M80" s="106">
        <v>5</v>
      </c>
      <c r="N80" s="106"/>
      <c r="O80" s="107"/>
      <c r="P80" s="106"/>
      <c r="Q80" s="106"/>
      <c r="R80" s="111"/>
      <c r="S80" s="61"/>
      <c r="T80" s="120"/>
    </row>
    <row r="81" spans="2:20" x14ac:dyDescent="0.2">
      <c r="B81" s="30">
        <v>72</v>
      </c>
      <c r="C81" s="30">
        <v>21102</v>
      </c>
      <c r="D81" s="104" t="s">
        <v>454</v>
      </c>
      <c r="E81" s="104" t="s">
        <v>432</v>
      </c>
      <c r="F81" s="106">
        <v>10</v>
      </c>
      <c r="G81" s="107"/>
      <c r="H81" s="106"/>
      <c r="I81" s="106">
        <v>10</v>
      </c>
      <c r="J81" s="106"/>
      <c r="K81" s="106"/>
      <c r="L81" s="106"/>
      <c r="M81" s="106">
        <v>10</v>
      </c>
      <c r="N81" s="106"/>
      <c r="O81" s="107"/>
      <c r="P81" s="106"/>
      <c r="Q81" s="106"/>
      <c r="R81" s="111"/>
      <c r="S81" s="61"/>
      <c r="T81" s="120"/>
    </row>
    <row r="82" spans="2:20" ht="25.5" x14ac:dyDescent="0.2">
      <c r="B82" s="30">
        <v>73</v>
      </c>
      <c r="C82" s="30">
        <v>21102</v>
      </c>
      <c r="D82" s="104" t="s">
        <v>455</v>
      </c>
      <c r="E82" s="104" t="s">
        <v>432</v>
      </c>
      <c r="F82" s="106">
        <v>2</v>
      </c>
      <c r="G82" s="107"/>
      <c r="H82" s="106"/>
      <c r="I82" s="106">
        <v>2</v>
      </c>
      <c r="J82" s="106"/>
      <c r="K82" s="106"/>
      <c r="L82" s="106"/>
      <c r="M82" s="106">
        <v>2</v>
      </c>
      <c r="N82" s="106"/>
      <c r="O82" s="107"/>
      <c r="P82" s="106"/>
      <c r="Q82" s="106"/>
      <c r="R82" s="111"/>
      <c r="S82" s="61"/>
      <c r="T82" s="120"/>
    </row>
    <row r="83" spans="2:20" ht="25.5" x14ac:dyDescent="0.2">
      <c r="B83" s="30">
        <v>74</v>
      </c>
      <c r="C83" s="30">
        <v>21102</v>
      </c>
      <c r="D83" s="104" t="s">
        <v>456</v>
      </c>
      <c r="E83" s="104" t="s">
        <v>432</v>
      </c>
      <c r="F83" s="106">
        <v>6</v>
      </c>
      <c r="G83" s="107"/>
      <c r="H83" s="106"/>
      <c r="I83" s="106">
        <v>6</v>
      </c>
      <c r="J83" s="106"/>
      <c r="K83" s="106"/>
      <c r="L83" s="106"/>
      <c r="M83" s="106">
        <v>6</v>
      </c>
      <c r="N83" s="106"/>
      <c r="O83" s="107"/>
      <c r="P83" s="106"/>
      <c r="Q83" s="106"/>
      <c r="R83" s="111"/>
      <c r="S83" s="61"/>
      <c r="T83" s="120"/>
    </row>
    <row r="84" spans="2:20" ht="38.25" x14ac:dyDescent="0.2">
      <c r="B84" s="30">
        <v>75</v>
      </c>
      <c r="C84" s="30">
        <v>21102</v>
      </c>
      <c r="D84" s="104" t="s">
        <v>457</v>
      </c>
      <c r="E84" s="104" t="s">
        <v>432</v>
      </c>
      <c r="F84" s="106">
        <v>5</v>
      </c>
      <c r="G84" s="107">
        <v>1</v>
      </c>
      <c r="H84" s="106"/>
      <c r="I84" s="106">
        <v>5</v>
      </c>
      <c r="J84" s="106">
        <v>1</v>
      </c>
      <c r="K84" s="106"/>
      <c r="L84" s="106"/>
      <c r="M84" s="106">
        <v>6</v>
      </c>
      <c r="N84" s="106"/>
      <c r="O84" s="107"/>
      <c r="P84" s="106">
        <v>1</v>
      </c>
      <c r="Q84" s="106"/>
      <c r="R84" s="111">
        <f t="shared" si="8"/>
        <v>19</v>
      </c>
      <c r="S84" s="61"/>
      <c r="T84" s="120">
        <f t="shared" si="9"/>
        <v>0</v>
      </c>
    </row>
    <row r="85" spans="2:20" ht="25.5" x14ac:dyDescent="0.2">
      <c r="B85" s="30">
        <v>76</v>
      </c>
      <c r="C85" s="30">
        <v>21102</v>
      </c>
      <c r="D85" s="104" t="s">
        <v>458</v>
      </c>
      <c r="E85" s="104" t="s">
        <v>432</v>
      </c>
      <c r="F85" s="106">
        <v>6</v>
      </c>
      <c r="G85" s="107"/>
      <c r="H85" s="126"/>
      <c r="I85" s="106">
        <v>6</v>
      </c>
      <c r="J85" s="126"/>
      <c r="K85" s="126"/>
      <c r="L85" s="126"/>
      <c r="M85" s="106">
        <v>6</v>
      </c>
      <c r="N85" s="126"/>
      <c r="O85" s="127"/>
      <c r="P85" s="126"/>
      <c r="Q85" s="126"/>
      <c r="R85" s="128"/>
      <c r="S85" s="61"/>
      <c r="T85" s="129"/>
    </row>
    <row r="86" spans="2:20" ht="25.5" x14ac:dyDescent="0.2">
      <c r="B86" s="30">
        <v>77</v>
      </c>
      <c r="C86" s="30">
        <v>21102</v>
      </c>
      <c r="D86" s="104" t="s">
        <v>459</v>
      </c>
      <c r="E86" s="104" t="s">
        <v>432</v>
      </c>
      <c r="F86" s="130">
        <v>7</v>
      </c>
      <c r="G86" s="107"/>
      <c r="H86" s="106"/>
      <c r="I86" s="130">
        <v>7</v>
      </c>
      <c r="J86" s="106"/>
      <c r="K86" s="106"/>
      <c r="L86" s="106"/>
      <c r="M86" s="130">
        <v>7</v>
      </c>
      <c r="N86" s="106"/>
      <c r="O86" s="107"/>
      <c r="P86" s="106"/>
      <c r="Q86" s="106"/>
      <c r="R86" s="113"/>
      <c r="S86" s="106"/>
      <c r="T86" s="121"/>
    </row>
    <row r="87" spans="2:20" ht="25.5" x14ac:dyDescent="0.2">
      <c r="B87" s="30">
        <v>78</v>
      </c>
      <c r="C87" s="30">
        <v>21102</v>
      </c>
      <c r="D87" s="104" t="s">
        <v>460</v>
      </c>
      <c r="E87" s="104" t="s">
        <v>432</v>
      </c>
      <c r="F87" s="130">
        <v>9</v>
      </c>
      <c r="G87" s="107"/>
      <c r="H87" s="106"/>
      <c r="I87" s="130">
        <v>9</v>
      </c>
      <c r="J87" s="106"/>
      <c r="K87" s="106"/>
      <c r="L87" s="106"/>
      <c r="M87" s="130">
        <v>9</v>
      </c>
      <c r="N87" s="106"/>
      <c r="O87" s="107"/>
      <c r="P87" s="106"/>
      <c r="Q87" s="106"/>
      <c r="R87" s="113"/>
      <c r="S87" s="106"/>
      <c r="T87" s="121"/>
    </row>
    <row r="88" spans="2:20" ht="51" x14ac:dyDescent="0.2">
      <c r="B88" s="30">
        <v>79</v>
      </c>
      <c r="C88" s="30">
        <v>21102</v>
      </c>
      <c r="D88" s="104" t="s">
        <v>461</v>
      </c>
      <c r="E88" s="104" t="s">
        <v>432</v>
      </c>
      <c r="F88" s="130">
        <v>5</v>
      </c>
      <c r="G88" s="107"/>
      <c r="H88" s="106"/>
      <c r="I88" s="130">
        <v>5</v>
      </c>
      <c r="J88" s="106"/>
      <c r="K88" s="106"/>
      <c r="L88" s="106"/>
      <c r="M88" s="130">
        <v>5</v>
      </c>
      <c r="N88" s="106"/>
      <c r="O88" s="107"/>
      <c r="P88" s="106"/>
      <c r="Q88" s="106"/>
      <c r="R88" s="113"/>
      <c r="S88" s="106"/>
      <c r="T88" s="121"/>
    </row>
    <row r="89" spans="2:20" x14ac:dyDescent="0.2">
      <c r="B89" s="30">
        <v>80</v>
      </c>
      <c r="C89" s="30">
        <v>21102</v>
      </c>
      <c r="D89" s="104" t="s">
        <v>462</v>
      </c>
      <c r="E89" s="104" t="s">
        <v>432</v>
      </c>
      <c r="F89" s="130">
        <v>9</v>
      </c>
      <c r="G89" s="107">
        <v>9</v>
      </c>
      <c r="H89" s="106"/>
      <c r="I89" s="130">
        <v>9</v>
      </c>
      <c r="J89" s="106">
        <v>9</v>
      </c>
      <c r="K89" s="106"/>
      <c r="L89" s="106"/>
      <c r="M89" s="130">
        <f>9+9</f>
        <v>18</v>
      </c>
      <c r="N89" s="106"/>
      <c r="O89" s="107"/>
      <c r="P89" s="106">
        <v>10</v>
      </c>
      <c r="Q89" s="106"/>
      <c r="R89" s="113">
        <f>SUM(F89:Q89)</f>
        <v>64</v>
      </c>
      <c r="S89" s="106">
        <v>54.1</v>
      </c>
      <c r="T89" s="121">
        <f>R89*S89</f>
        <v>3462.4</v>
      </c>
    </row>
    <row r="90" spans="2:20" ht="51" x14ac:dyDescent="0.2">
      <c r="B90" s="30">
        <v>81</v>
      </c>
      <c r="C90" s="30">
        <v>21102</v>
      </c>
      <c r="D90" s="104" t="s">
        <v>463</v>
      </c>
      <c r="E90" s="104" t="s">
        <v>432</v>
      </c>
      <c r="F90" s="130">
        <v>5</v>
      </c>
      <c r="G90" s="107"/>
      <c r="H90" s="106"/>
      <c r="I90" s="130">
        <v>5</v>
      </c>
      <c r="J90" s="106"/>
      <c r="K90" s="106"/>
      <c r="L90" s="106"/>
      <c r="M90" s="130">
        <v>5</v>
      </c>
      <c r="N90" s="106"/>
      <c r="O90" s="107"/>
      <c r="P90" s="106"/>
      <c r="Q90" s="106"/>
      <c r="R90" s="113"/>
      <c r="S90" s="106"/>
      <c r="T90" s="121"/>
    </row>
    <row r="91" spans="2:20" ht="39" thickBot="1" x14ac:dyDescent="0.25">
      <c r="B91" s="30">
        <v>82</v>
      </c>
      <c r="C91" s="30">
        <v>21102</v>
      </c>
      <c r="D91" s="104" t="s">
        <v>464</v>
      </c>
      <c r="E91" s="104" t="s">
        <v>432</v>
      </c>
      <c r="F91" s="130">
        <v>5</v>
      </c>
      <c r="G91" s="107"/>
      <c r="H91" s="106"/>
      <c r="I91" s="107"/>
      <c r="J91" s="106"/>
      <c r="K91" s="106"/>
      <c r="L91" s="106"/>
      <c r="M91" s="106"/>
      <c r="N91" s="106"/>
      <c r="O91" s="107"/>
      <c r="P91" s="106"/>
      <c r="Q91" s="106"/>
      <c r="R91" s="113"/>
      <c r="S91" s="106"/>
      <c r="T91" s="121"/>
    </row>
    <row r="92" spans="2:20" ht="13.5" thickBot="1" x14ac:dyDescent="0.25">
      <c r="B92" s="30">
        <v>83</v>
      </c>
      <c r="C92" s="30">
        <v>21102</v>
      </c>
      <c r="D92" s="162" t="s">
        <v>576</v>
      </c>
      <c r="E92" s="135" t="s">
        <v>85</v>
      </c>
      <c r="F92" s="163">
        <v>10</v>
      </c>
      <c r="G92" s="134"/>
      <c r="H92" s="135"/>
      <c r="I92" s="134"/>
      <c r="J92" s="135"/>
      <c r="K92" s="134"/>
      <c r="L92" s="135"/>
      <c r="M92" s="134"/>
      <c r="N92" s="135"/>
      <c r="O92" s="134"/>
      <c r="P92" s="134"/>
      <c r="Q92" s="134"/>
      <c r="R92" s="135">
        <f>SUM(F92:Q92)</f>
        <v>10</v>
      </c>
      <c r="S92" s="164">
        <f>82.6</f>
        <v>82.6</v>
      </c>
      <c r="T92" s="138">
        <f>S92*R92</f>
        <v>826</v>
      </c>
    </row>
    <row r="93" spans="2:20" ht="13.5" thickBot="1" x14ac:dyDescent="0.25">
      <c r="B93" s="30">
        <v>84</v>
      </c>
      <c r="C93" s="30">
        <v>21102</v>
      </c>
      <c r="D93" s="165" t="s">
        <v>577</v>
      </c>
      <c r="E93" s="7" t="s">
        <v>85</v>
      </c>
      <c r="F93" s="166">
        <v>42</v>
      </c>
      <c r="G93" s="8"/>
      <c r="H93" s="7"/>
      <c r="I93" s="8"/>
      <c r="J93" s="7"/>
      <c r="K93" s="8"/>
      <c r="L93" s="7"/>
      <c r="M93" s="8"/>
      <c r="N93" s="7"/>
      <c r="O93" s="8"/>
      <c r="P93" s="8"/>
      <c r="Q93" s="8"/>
      <c r="R93" s="135">
        <f>SUM(F93:Q93)</f>
        <v>42</v>
      </c>
      <c r="S93" s="167">
        <v>2.74</v>
      </c>
      <c r="T93" s="138">
        <f t="shared" ref="T93:T95" si="10">S93*R93</f>
        <v>115.08000000000001</v>
      </c>
    </row>
    <row r="94" spans="2:20" ht="13.5" thickBot="1" x14ac:dyDescent="0.25">
      <c r="B94" s="30">
        <v>85</v>
      </c>
      <c r="C94" s="30">
        <v>21102</v>
      </c>
      <c r="D94" s="165" t="s">
        <v>578</v>
      </c>
      <c r="E94" s="7" t="s">
        <v>85</v>
      </c>
      <c r="F94" s="166">
        <v>97</v>
      </c>
      <c r="G94" s="8"/>
      <c r="H94" s="7"/>
      <c r="I94" s="8"/>
      <c r="J94" s="7"/>
      <c r="K94" s="8"/>
      <c r="L94" s="7"/>
      <c r="M94" s="8"/>
      <c r="N94" s="7"/>
      <c r="O94" s="8"/>
      <c r="P94" s="8"/>
      <c r="Q94" s="8"/>
      <c r="R94" s="135">
        <f t="shared" ref="R94:R95" si="11">SUM(F94:Q94)</f>
        <v>97</v>
      </c>
      <c r="S94" s="167">
        <v>1.7267300000000001</v>
      </c>
      <c r="T94" s="138">
        <f t="shared" si="10"/>
        <v>167.49281000000002</v>
      </c>
    </row>
    <row r="95" spans="2:20" ht="13.5" thickBot="1" x14ac:dyDescent="0.25">
      <c r="B95" s="30">
        <v>86</v>
      </c>
      <c r="C95" s="30">
        <v>21102</v>
      </c>
      <c r="D95" s="165" t="s">
        <v>579</v>
      </c>
      <c r="E95" s="7" t="s">
        <v>85</v>
      </c>
      <c r="F95" s="166">
        <v>60</v>
      </c>
      <c r="G95" s="8"/>
      <c r="H95" s="7"/>
      <c r="I95" s="8"/>
      <c r="J95" s="7"/>
      <c r="K95" s="8"/>
      <c r="L95" s="7"/>
      <c r="M95" s="8"/>
      <c r="N95" s="7"/>
      <c r="O95" s="8"/>
      <c r="P95" s="8"/>
      <c r="Q95" s="8"/>
      <c r="R95" s="135">
        <f t="shared" si="11"/>
        <v>60</v>
      </c>
      <c r="S95" s="167">
        <v>23.09</v>
      </c>
      <c r="T95" s="138">
        <f t="shared" si="10"/>
        <v>1385.4</v>
      </c>
    </row>
    <row r="96" spans="2:20" x14ac:dyDescent="0.2">
      <c r="B96" s="30">
        <v>87</v>
      </c>
      <c r="C96" s="30">
        <v>21102</v>
      </c>
      <c r="D96" s="235" t="s">
        <v>580</v>
      </c>
      <c r="E96" s="89" t="s">
        <v>85</v>
      </c>
      <c r="F96" s="236">
        <v>60</v>
      </c>
      <c r="G96" s="90">
        <v>4</v>
      </c>
      <c r="H96" s="89"/>
      <c r="I96" s="90"/>
      <c r="J96" s="89">
        <v>4</v>
      </c>
      <c r="K96" s="90"/>
      <c r="L96" s="89"/>
      <c r="M96" s="90">
        <v>4</v>
      </c>
      <c r="N96" s="89"/>
      <c r="O96" s="90"/>
      <c r="P96" s="90">
        <v>3</v>
      </c>
      <c r="Q96" s="90"/>
      <c r="R96" s="219">
        <f>SUM(F96:Q96)</f>
        <v>75</v>
      </c>
      <c r="S96" s="237">
        <v>23.088999999999999</v>
      </c>
      <c r="T96" s="238">
        <f>S96*R96</f>
        <v>1731.675</v>
      </c>
    </row>
    <row r="97" spans="2:20" ht="13.5" thickBot="1" x14ac:dyDescent="0.25">
      <c r="B97" s="30">
        <v>88</v>
      </c>
      <c r="C97" s="30">
        <v>21102</v>
      </c>
      <c r="D97" s="165" t="s">
        <v>791</v>
      </c>
      <c r="E97" s="239" t="s">
        <v>792</v>
      </c>
      <c r="F97" s="106"/>
      <c r="G97" s="107">
        <v>22</v>
      </c>
      <c r="H97" s="106"/>
      <c r="I97" s="107"/>
      <c r="J97" s="106">
        <v>22</v>
      </c>
      <c r="K97" s="106"/>
      <c r="L97" s="106"/>
      <c r="M97" s="106">
        <v>22</v>
      </c>
      <c r="N97" s="106"/>
      <c r="O97" s="107"/>
      <c r="P97" s="106">
        <v>21</v>
      </c>
      <c r="Q97" s="106"/>
      <c r="R97" s="113">
        <f>SUM(F97:Q97)</f>
        <v>87</v>
      </c>
      <c r="S97" s="240">
        <v>42.1</v>
      </c>
      <c r="T97" s="9">
        <f>S97*R97</f>
        <v>3662.7000000000003</v>
      </c>
    </row>
    <row r="98" spans="2:20" x14ac:dyDescent="0.2">
      <c r="B98" s="30">
        <v>89</v>
      </c>
      <c r="C98" s="30">
        <v>21102</v>
      </c>
      <c r="D98" s="165" t="s">
        <v>793</v>
      </c>
      <c r="E98" s="233" t="s">
        <v>792</v>
      </c>
      <c r="G98" s="4">
        <v>15</v>
      </c>
      <c r="J98">
        <v>15</v>
      </c>
      <c r="M98">
        <v>15</v>
      </c>
      <c r="P98">
        <v>3</v>
      </c>
      <c r="R98" s="219">
        <f t="shared" ref="R98:R104" si="12">SUM(F98:Q98)</f>
        <v>48</v>
      </c>
      <c r="S98" s="234">
        <v>42.28</v>
      </c>
      <c r="T98" s="122">
        <f>S98*R98</f>
        <v>2029.44</v>
      </c>
    </row>
    <row r="99" spans="2:20" x14ac:dyDescent="0.2">
      <c r="B99" s="44">
        <v>90</v>
      </c>
      <c r="C99" s="44">
        <v>21102</v>
      </c>
      <c r="D99" s="232" t="s">
        <v>794</v>
      </c>
      <c r="E99" s="233" t="s">
        <v>792</v>
      </c>
      <c r="G99" s="4">
        <v>1</v>
      </c>
      <c r="M99" s="241">
        <v>1</v>
      </c>
      <c r="R99" s="128">
        <f t="shared" si="12"/>
        <v>2</v>
      </c>
      <c r="S99" s="234">
        <v>78.75</v>
      </c>
      <c r="T99" s="122">
        <f>S99*R99</f>
        <v>157.5</v>
      </c>
    </row>
    <row r="100" spans="2:20" x14ac:dyDescent="0.2">
      <c r="B100" s="30">
        <v>91</v>
      </c>
      <c r="C100" s="30">
        <v>21102</v>
      </c>
      <c r="D100" s="165" t="s">
        <v>795</v>
      </c>
      <c r="E100" s="239" t="s">
        <v>792</v>
      </c>
      <c r="F100" s="106"/>
      <c r="G100" s="107">
        <v>37</v>
      </c>
      <c r="H100" s="106"/>
      <c r="I100" s="107"/>
      <c r="J100" s="106">
        <v>37</v>
      </c>
      <c r="K100" s="106"/>
      <c r="L100" s="106"/>
      <c r="M100" s="287">
        <v>37</v>
      </c>
      <c r="N100" s="106"/>
      <c r="O100" s="107"/>
      <c r="P100" s="106">
        <v>39</v>
      </c>
      <c r="Q100" s="106"/>
      <c r="R100" s="7">
        <f t="shared" si="12"/>
        <v>150</v>
      </c>
      <c r="S100" s="240">
        <v>9.89</v>
      </c>
      <c r="T100" s="121">
        <f t="shared" ref="T100:T105" si="13">S100*R100</f>
        <v>1483.5</v>
      </c>
    </row>
    <row r="101" spans="2:20" x14ac:dyDescent="0.2">
      <c r="B101" s="30">
        <v>92</v>
      </c>
      <c r="C101" s="30">
        <v>21102</v>
      </c>
      <c r="D101" s="165" t="s">
        <v>796</v>
      </c>
      <c r="E101" s="239" t="s">
        <v>792</v>
      </c>
      <c r="F101" s="106"/>
      <c r="G101" s="107"/>
      <c r="H101" s="106"/>
      <c r="I101" s="107"/>
      <c r="J101" s="106">
        <v>1</v>
      </c>
      <c r="K101" s="106"/>
      <c r="L101" s="106"/>
      <c r="M101" s="106"/>
      <c r="N101" s="106"/>
      <c r="O101" s="107"/>
      <c r="P101" s="106"/>
      <c r="Q101" s="106"/>
      <c r="R101" s="113">
        <f t="shared" si="12"/>
        <v>1</v>
      </c>
      <c r="S101" s="106"/>
      <c r="T101" s="121">
        <f t="shared" si="13"/>
        <v>0</v>
      </c>
    </row>
    <row r="102" spans="2:20" x14ac:dyDescent="0.2">
      <c r="B102" s="30">
        <v>93</v>
      </c>
      <c r="C102" s="30">
        <v>21102</v>
      </c>
      <c r="D102" s="165" t="s">
        <v>797</v>
      </c>
      <c r="E102" s="239" t="s">
        <v>792</v>
      </c>
      <c r="F102" s="106"/>
      <c r="G102" s="107">
        <v>1</v>
      </c>
      <c r="H102" s="106"/>
      <c r="I102" s="107"/>
      <c r="J102" s="106">
        <v>1</v>
      </c>
      <c r="K102" s="106"/>
      <c r="L102" s="106"/>
      <c r="M102" s="106"/>
      <c r="N102" s="106"/>
      <c r="O102" s="107"/>
      <c r="P102" s="106">
        <v>1</v>
      </c>
      <c r="Q102" s="106"/>
      <c r="R102" s="113">
        <f t="shared" si="12"/>
        <v>3</v>
      </c>
      <c r="S102" s="106"/>
      <c r="T102" s="121">
        <f t="shared" si="13"/>
        <v>0</v>
      </c>
    </row>
    <row r="103" spans="2:20" x14ac:dyDescent="0.2">
      <c r="B103" s="30">
        <v>94</v>
      </c>
      <c r="C103" s="30">
        <v>21102</v>
      </c>
      <c r="D103" s="165" t="s">
        <v>798</v>
      </c>
      <c r="E103" s="239" t="s">
        <v>792</v>
      </c>
      <c r="F103" s="106"/>
      <c r="G103" s="107">
        <v>3</v>
      </c>
      <c r="H103" s="106"/>
      <c r="I103" s="107"/>
      <c r="J103" s="106">
        <v>3</v>
      </c>
      <c r="K103" s="106"/>
      <c r="L103" s="106"/>
      <c r="M103" s="106">
        <v>3</v>
      </c>
      <c r="N103" s="106"/>
      <c r="O103" s="107"/>
      <c r="P103" s="106">
        <v>3</v>
      </c>
      <c r="Q103" s="106"/>
      <c r="R103" s="7">
        <f t="shared" si="12"/>
        <v>12</v>
      </c>
      <c r="S103" s="106"/>
      <c r="T103" s="121">
        <f t="shared" si="13"/>
        <v>0</v>
      </c>
    </row>
    <row r="104" spans="2:20" x14ac:dyDescent="0.2">
      <c r="B104" s="30">
        <v>95</v>
      </c>
      <c r="C104" s="30">
        <v>21102</v>
      </c>
      <c r="D104" s="165" t="s">
        <v>799</v>
      </c>
      <c r="E104" s="239" t="s">
        <v>792</v>
      </c>
      <c r="F104" s="106"/>
      <c r="G104" s="107">
        <v>13</v>
      </c>
      <c r="H104" s="106"/>
      <c r="I104" s="107"/>
      <c r="J104" s="106">
        <v>13</v>
      </c>
      <c r="K104" s="106"/>
      <c r="L104" s="106"/>
      <c r="M104" s="106">
        <v>13</v>
      </c>
      <c r="N104" s="106"/>
      <c r="O104" s="107"/>
      <c r="P104" s="106">
        <v>11</v>
      </c>
      <c r="Q104" s="106"/>
      <c r="R104" s="113">
        <f t="shared" si="12"/>
        <v>50</v>
      </c>
      <c r="S104" s="106"/>
      <c r="T104" s="121">
        <f t="shared" si="13"/>
        <v>0</v>
      </c>
    </row>
    <row r="105" spans="2:20" x14ac:dyDescent="0.2">
      <c r="B105" s="106"/>
      <c r="C105" s="106"/>
      <c r="D105" s="165"/>
      <c r="E105" s="239"/>
      <c r="F105" s="106"/>
      <c r="G105" s="107"/>
      <c r="H105" s="106"/>
      <c r="I105" s="107"/>
      <c r="J105" s="106"/>
      <c r="K105" s="106"/>
      <c r="L105" s="106"/>
      <c r="M105" s="106"/>
      <c r="N105" s="106"/>
      <c r="O105" s="107"/>
      <c r="P105" s="106"/>
      <c r="Q105" s="106"/>
      <c r="R105" s="113"/>
      <c r="S105" s="106"/>
      <c r="T105" s="121">
        <f t="shared" si="13"/>
        <v>0</v>
      </c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58"/>
  <sheetViews>
    <sheetView topLeftCell="G5" zoomScale="90" zoomScaleNormal="90" workbookViewId="0">
      <pane ySplit="6" topLeftCell="A32" activePane="bottomLeft" state="frozen"/>
      <selection activeCell="A5" sqref="A5"/>
      <selection pane="bottomLeft" activeCell="O61" sqref="O6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style="4" bestFit="1" customWidth="1"/>
    <col min="8" max="8" width="6.42578125" style="4" bestFit="1" customWidth="1"/>
    <col min="9" max="9" width="8.42578125" style="4" customWidth="1"/>
    <col min="10" max="10" width="11.42578125" style="4"/>
    <col min="11" max="11" width="8.7109375" style="4" customWidth="1"/>
    <col min="12" max="12" width="9.140625" style="4" customWidth="1"/>
    <col min="13" max="13" width="10" style="4" customWidth="1"/>
    <col min="14" max="14" width="10.28515625" style="4" bestFit="1" customWidth="1"/>
    <col min="15" max="15" width="8" style="4" bestFit="1" customWidth="1"/>
    <col min="16" max="16" width="10" style="4" bestFit="1" customWidth="1"/>
    <col min="17" max="17" width="9.42578125" style="4" bestFit="1" customWidth="1"/>
    <col min="18" max="18" width="8.85546875" style="4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65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9" t="s">
        <v>66</v>
      </c>
      <c r="E11" s="30" t="s">
        <v>51</v>
      </c>
      <c r="F11" s="66">
        <v>30</v>
      </c>
      <c r="G11" s="66">
        <v>12</v>
      </c>
      <c r="H11" s="66">
        <v>2</v>
      </c>
      <c r="I11" s="30">
        <v>34</v>
      </c>
      <c r="J11" s="53"/>
      <c r="K11" s="53"/>
      <c r="L11" s="69">
        <v>20</v>
      </c>
      <c r="M11" s="69">
        <v>34</v>
      </c>
      <c r="N11" s="69"/>
      <c r="O11" s="53">
        <v>10</v>
      </c>
      <c r="P11" s="53">
        <v>52</v>
      </c>
      <c r="Q11" s="53"/>
      <c r="R11" s="53">
        <f>SUM(F11:Q11)</f>
        <v>194</v>
      </c>
      <c r="S11" s="55">
        <v>297.41000000000003</v>
      </c>
      <c r="T11" s="56">
        <f>S11*R11</f>
        <v>57697.540000000008</v>
      </c>
    </row>
    <row r="12" spans="2:25" s="45" customFormat="1" x14ac:dyDescent="0.2">
      <c r="B12" s="30">
        <v>2</v>
      </c>
      <c r="C12" s="30" t="s">
        <v>50</v>
      </c>
      <c r="D12" s="35" t="s">
        <v>67</v>
      </c>
      <c r="E12" s="30" t="s">
        <v>51</v>
      </c>
      <c r="F12" s="66">
        <v>15</v>
      </c>
      <c r="G12" s="66">
        <f>31+18</f>
        <v>49</v>
      </c>
      <c r="H12" s="66"/>
      <c r="I12" s="30">
        <v>35</v>
      </c>
      <c r="J12" s="30"/>
      <c r="K12" s="30"/>
      <c r="L12" s="66">
        <v>40</v>
      </c>
      <c r="M12" s="66">
        <v>12</v>
      </c>
      <c r="N12" s="66"/>
      <c r="O12" s="30">
        <v>20</v>
      </c>
      <c r="P12" s="30">
        <v>12</v>
      </c>
      <c r="Q12" s="30"/>
      <c r="R12" s="30">
        <f>+SUM(F12:Q12)</f>
        <v>183</v>
      </c>
      <c r="S12" s="58">
        <v>77.59</v>
      </c>
      <c r="T12" s="59">
        <f>+S12*R12</f>
        <v>14198.970000000001</v>
      </c>
    </row>
    <row r="13" spans="2:25" s="45" customFormat="1" ht="25.5" x14ac:dyDescent="0.2">
      <c r="B13" s="30">
        <v>3</v>
      </c>
      <c r="C13" s="30" t="s">
        <v>50</v>
      </c>
      <c r="D13" s="35" t="s">
        <v>68</v>
      </c>
      <c r="E13" s="30" t="s">
        <v>51</v>
      </c>
      <c r="F13" s="66"/>
      <c r="G13" s="66">
        <v>20</v>
      </c>
      <c r="H13" s="66">
        <v>2</v>
      </c>
      <c r="I13" s="30">
        <v>30</v>
      </c>
      <c r="J13" s="30"/>
      <c r="K13" s="30"/>
      <c r="L13" s="66">
        <v>40</v>
      </c>
      <c r="M13" s="66"/>
      <c r="N13" s="66"/>
      <c r="O13" s="30">
        <v>20</v>
      </c>
      <c r="P13" s="30"/>
      <c r="Q13" s="30"/>
      <c r="R13" s="30">
        <f>+SUM(F13:Q13)</f>
        <v>112</v>
      </c>
      <c r="S13" s="58">
        <v>227.59</v>
      </c>
      <c r="T13" s="59">
        <f>+S13*R13</f>
        <v>25490.080000000002</v>
      </c>
    </row>
    <row r="14" spans="2:25" s="45" customFormat="1" ht="25.5" x14ac:dyDescent="0.2">
      <c r="B14" s="30">
        <v>4</v>
      </c>
      <c r="C14" s="30" t="s">
        <v>50</v>
      </c>
      <c r="D14" s="35" t="s">
        <v>69</v>
      </c>
      <c r="E14" s="30" t="s">
        <v>51</v>
      </c>
      <c r="F14" s="66"/>
      <c r="G14" s="66">
        <v>21</v>
      </c>
      <c r="H14" s="66"/>
      <c r="I14" s="30">
        <v>10</v>
      </c>
      <c r="J14" s="30">
        <v>1</v>
      </c>
      <c r="K14" s="30"/>
      <c r="L14" s="66">
        <v>30</v>
      </c>
      <c r="M14" s="66">
        <v>1</v>
      </c>
      <c r="N14" s="66"/>
      <c r="O14" s="30">
        <v>15</v>
      </c>
      <c r="P14" s="30">
        <v>1</v>
      </c>
      <c r="Q14" s="30"/>
      <c r="R14" s="30">
        <f t="shared" ref="R14:R44" si="0">+SUM(F14:Q14)</f>
        <v>79</v>
      </c>
      <c r="S14" s="58">
        <v>56.1</v>
      </c>
      <c r="T14" s="59">
        <f>+S14*R14</f>
        <v>4431.9000000000005</v>
      </c>
    </row>
    <row r="15" spans="2:25" s="45" customFormat="1" x14ac:dyDescent="0.2">
      <c r="B15" s="30">
        <v>5</v>
      </c>
      <c r="C15" s="30" t="s">
        <v>50</v>
      </c>
      <c r="D15" s="35" t="s">
        <v>70</v>
      </c>
      <c r="E15" s="30" t="s">
        <v>51</v>
      </c>
      <c r="F15" s="66">
        <v>12</v>
      </c>
      <c r="G15" s="66">
        <v>5</v>
      </c>
      <c r="H15" s="66"/>
      <c r="I15" s="30">
        <v>22</v>
      </c>
      <c r="J15" s="30"/>
      <c r="K15" s="30"/>
      <c r="L15" s="66">
        <v>10</v>
      </c>
      <c r="M15" s="66">
        <v>12</v>
      </c>
      <c r="N15" s="66"/>
      <c r="O15" s="30">
        <v>5</v>
      </c>
      <c r="P15" s="30">
        <v>12</v>
      </c>
      <c r="Q15" s="30"/>
      <c r="R15" s="30">
        <f t="shared" si="0"/>
        <v>78</v>
      </c>
      <c r="S15" s="58"/>
      <c r="T15" s="59">
        <f t="shared" ref="T15:T44" si="1">+S15*R15</f>
        <v>0</v>
      </c>
    </row>
    <row r="16" spans="2:25" s="45" customFormat="1" x14ac:dyDescent="0.2">
      <c r="B16" s="30">
        <v>6</v>
      </c>
      <c r="C16" s="30" t="s">
        <v>50</v>
      </c>
      <c r="D16" s="35" t="s">
        <v>71</v>
      </c>
      <c r="E16" s="30" t="s">
        <v>85</v>
      </c>
      <c r="F16" s="66">
        <v>20</v>
      </c>
      <c r="G16" s="66">
        <v>80</v>
      </c>
      <c r="H16" s="66">
        <v>40</v>
      </c>
      <c r="I16" s="30">
        <v>92</v>
      </c>
      <c r="J16" s="30">
        <v>18</v>
      </c>
      <c r="K16" s="30">
        <v>7</v>
      </c>
      <c r="L16" s="66">
        <v>120</v>
      </c>
      <c r="M16" s="66">
        <v>12</v>
      </c>
      <c r="N16" s="66">
        <v>7</v>
      </c>
      <c r="O16" s="30">
        <v>60</v>
      </c>
      <c r="P16" s="30">
        <v>12</v>
      </c>
      <c r="Q16" s="30">
        <v>7</v>
      </c>
      <c r="R16" s="30">
        <f t="shared" si="0"/>
        <v>475</v>
      </c>
      <c r="S16" s="58">
        <v>27.26</v>
      </c>
      <c r="T16" s="59">
        <f t="shared" si="1"/>
        <v>12948.5</v>
      </c>
    </row>
    <row r="17" spans="2:20" s="45" customFormat="1" x14ac:dyDescent="0.2">
      <c r="B17" s="30">
        <v>7</v>
      </c>
      <c r="C17" s="30" t="s">
        <v>50</v>
      </c>
      <c r="D17" s="35" t="s">
        <v>72</v>
      </c>
      <c r="E17" s="30" t="s">
        <v>51</v>
      </c>
      <c r="F17" s="66"/>
      <c r="G17" s="66">
        <v>12</v>
      </c>
      <c r="H17" s="66">
        <v>2</v>
      </c>
      <c r="I17" s="30">
        <v>20</v>
      </c>
      <c r="J17" s="30"/>
      <c r="K17" s="30"/>
      <c r="L17" s="66">
        <v>20</v>
      </c>
      <c r="M17" s="66"/>
      <c r="N17" s="66"/>
      <c r="O17" s="30">
        <v>10</v>
      </c>
      <c r="P17" s="30"/>
      <c r="Q17" s="30"/>
      <c r="R17" s="30">
        <f t="shared" si="0"/>
        <v>64</v>
      </c>
      <c r="S17" s="58">
        <v>724.14</v>
      </c>
      <c r="T17" s="59">
        <f t="shared" si="1"/>
        <v>46344.959999999999</v>
      </c>
    </row>
    <row r="18" spans="2:20" s="45" customFormat="1" x14ac:dyDescent="0.2">
      <c r="B18" s="30">
        <v>8</v>
      </c>
      <c r="C18" s="30" t="s">
        <v>50</v>
      </c>
      <c r="D18" s="35" t="s">
        <v>73</v>
      </c>
      <c r="E18" s="30" t="s">
        <v>51</v>
      </c>
      <c r="F18" s="66"/>
      <c r="G18" s="66">
        <v>5</v>
      </c>
      <c r="H18" s="66"/>
      <c r="I18" s="30">
        <v>0</v>
      </c>
      <c r="J18" s="30"/>
      <c r="K18" s="30"/>
      <c r="L18" s="66">
        <v>0</v>
      </c>
      <c r="M18" s="66"/>
      <c r="N18" s="66"/>
      <c r="O18" s="30">
        <v>0</v>
      </c>
      <c r="P18" s="30"/>
      <c r="Q18" s="30"/>
      <c r="R18" s="30">
        <f t="shared" si="0"/>
        <v>5</v>
      </c>
      <c r="S18" s="58"/>
      <c r="T18" s="59">
        <f t="shared" si="1"/>
        <v>0</v>
      </c>
    </row>
    <row r="19" spans="2:20" s="45" customFormat="1" x14ac:dyDescent="0.2">
      <c r="B19" s="30">
        <v>9</v>
      </c>
      <c r="C19" s="30" t="s">
        <v>50</v>
      </c>
      <c r="D19" s="35" t="s">
        <v>74</v>
      </c>
      <c r="E19" s="30" t="s">
        <v>51</v>
      </c>
      <c r="F19" s="66">
        <v>2</v>
      </c>
      <c r="G19" s="66">
        <v>5</v>
      </c>
      <c r="H19" s="66">
        <v>2</v>
      </c>
      <c r="I19" s="30">
        <v>12</v>
      </c>
      <c r="J19" s="30"/>
      <c r="K19" s="30"/>
      <c r="L19" s="66">
        <v>10</v>
      </c>
      <c r="M19" s="66">
        <v>2</v>
      </c>
      <c r="N19" s="66"/>
      <c r="O19" s="30">
        <v>5</v>
      </c>
      <c r="P19" s="30">
        <v>2</v>
      </c>
      <c r="Q19" s="30"/>
      <c r="R19" s="30">
        <f t="shared" si="0"/>
        <v>40</v>
      </c>
      <c r="S19" s="58">
        <v>189.66</v>
      </c>
      <c r="T19" s="59">
        <f t="shared" si="1"/>
        <v>7586.4</v>
      </c>
    </row>
    <row r="20" spans="2:20" s="45" customFormat="1" x14ac:dyDescent="0.2">
      <c r="B20" s="30">
        <v>10</v>
      </c>
      <c r="C20" s="30" t="s">
        <v>50</v>
      </c>
      <c r="D20" s="35" t="s">
        <v>75</v>
      </c>
      <c r="E20" s="30" t="s">
        <v>52</v>
      </c>
      <c r="F20" s="66"/>
      <c r="G20" s="66">
        <v>10</v>
      </c>
      <c r="H20" s="66"/>
      <c r="I20" s="30">
        <v>20</v>
      </c>
      <c r="J20" s="30"/>
      <c r="K20" s="30"/>
      <c r="L20" s="66">
        <v>15</v>
      </c>
      <c r="M20" s="66"/>
      <c r="N20" s="66"/>
      <c r="O20" s="30">
        <v>10</v>
      </c>
      <c r="P20" s="30"/>
      <c r="Q20" s="30"/>
      <c r="R20" s="30">
        <f t="shared" si="0"/>
        <v>55</v>
      </c>
      <c r="S20" s="58"/>
      <c r="T20" s="59">
        <f t="shared" si="1"/>
        <v>0</v>
      </c>
    </row>
    <row r="21" spans="2:20" s="45" customFormat="1" x14ac:dyDescent="0.2">
      <c r="B21" s="30">
        <v>11</v>
      </c>
      <c r="C21" s="30" t="s">
        <v>50</v>
      </c>
      <c r="D21" s="35" t="s">
        <v>76</v>
      </c>
      <c r="E21" s="30" t="s">
        <v>52</v>
      </c>
      <c r="F21" s="66"/>
      <c r="G21" s="66">
        <v>10</v>
      </c>
      <c r="H21" s="66"/>
      <c r="I21" s="30">
        <v>20</v>
      </c>
      <c r="J21" s="30"/>
      <c r="K21" s="30"/>
      <c r="L21" s="66">
        <v>15</v>
      </c>
      <c r="M21" s="66"/>
      <c r="N21" s="66"/>
      <c r="O21" s="30">
        <v>10</v>
      </c>
      <c r="P21" s="30"/>
      <c r="Q21" s="30"/>
      <c r="R21" s="30">
        <f t="shared" si="0"/>
        <v>55</v>
      </c>
      <c r="S21" s="58"/>
      <c r="T21" s="59">
        <f t="shared" si="1"/>
        <v>0</v>
      </c>
    </row>
    <row r="22" spans="2:20" s="45" customFormat="1" x14ac:dyDescent="0.2">
      <c r="B22" s="30">
        <v>12</v>
      </c>
      <c r="C22" s="30" t="s">
        <v>50</v>
      </c>
      <c r="D22" s="35" t="s">
        <v>77</v>
      </c>
      <c r="E22" s="30" t="s">
        <v>52</v>
      </c>
      <c r="F22" s="66"/>
      <c r="G22" s="66">
        <v>10</v>
      </c>
      <c r="H22" s="66"/>
      <c r="I22" s="30">
        <v>20</v>
      </c>
      <c r="J22" s="30"/>
      <c r="K22" s="30"/>
      <c r="L22" s="66">
        <v>15</v>
      </c>
      <c r="M22" s="66"/>
      <c r="N22" s="66"/>
      <c r="O22" s="30">
        <v>10</v>
      </c>
      <c r="P22" s="30"/>
      <c r="Q22" s="30"/>
      <c r="R22" s="30">
        <f t="shared" si="0"/>
        <v>55</v>
      </c>
      <c r="S22" s="58"/>
      <c r="T22" s="59">
        <f t="shared" si="1"/>
        <v>0</v>
      </c>
    </row>
    <row r="23" spans="2:20" s="45" customFormat="1" ht="25.5" x14ac:dyDescent="0.2">
      <c r="B23" s="30">
        <v>13</v>
      </c>
      <c r="C23" s="30" t="s">
        <v>50</v>
      </c>
      <c r="D23" s="35" t="s">
        <v>78</v>
      </c>
      <c r="E23" s="30" t="s">
        <v>52</v>
      </c>
      <c r="F23" s="66"/>
      <c r="G23" s="66">
        <v>10</v>
      </c>
      <c r="H23" s="66"/>
      <c r="I23" s="30">
        <v>0</v>
      </c>
      <c r="J23" s="30">
        <v>12</v>
      </c>
      <c r="K23" s="30"/>
      <c r="L23" s="66">
        <v>0</v>
      </c>
      <c r="M23" s="66">
        <v>3</v>
      </c>
      <c r="N23" s="66"/>
      <c r="O23" s="30">
        <v>0</v>
      </c>
      <c r="P23" s="30"/>
      <c r="Q23" s="30"/>
      <c r="R23" s="30">
        <f t="shared" si="0"/>
        <v>25</v>
      </c>
      <c r="S23" s="58"/>
      <c r="T23" s="59">
        <f t="shared" si="1"/>
        <v>0</v>
      </c>
    </row>
    <row r="24" spans="2:20" s="45" customFormat="1" x14ac:dyDescent="0.2">
      <c r="B24" s="30">
        <v>14</v>
      </c>
      <c r="C24" s="30" t="s">
        <v>50</v>
      </c>
      <c r="D24" s="36" t="s">
        <v>79</v>
      </c>
      <c r="E24" s="33" t="s">
        <v>51</v>
      </c>
      <c r="F24" s="66"/>
      <c r="G24" s="66">
        <v>2</v>
      </c>
      <c r="H24" s="66"/>
      <c r="I24" s="30">
        <v>8</v>
      </c>
      <c r="J24" s="30">
        <v>13</v>
      </c>
      <c r="K24" s="30"/>
      <c r="L24" s="66">
        <v>5</v>
      </c>
      <c r="M24" s="66">
        <v>4</v>
      </c>
      <c r="N24" s="66"/>
      <c r="O24" s="30">
        <v>2</v>
      </c>
      <c r="P24" s="30"/>
      <c r="Q24" s="30"/>
      <c r="R24" s="30">
        <f t="shared" si="0"/>
        <v>34</v>
      </c>
      <c r="S24" s="58"/>
      <c r="T24" s="59">
        <f t="shared" si="1"/>
        <v>0</v>
      </c>
    </row>
    <row r="25" spans="2:20" s="45" customFormat="1" x14ac:dyDescent="0.2">
      <c r="B25" s="30">
        <v>15</v>
      </c>
      <c r="C25" s="30" t="s">
        <v>50</v>
      </c>
      <c r="D25" s="36" t="s">
        <v>80</v>
      </c>
      <c r="E25" s="33" t="s">
        <v>86</v>
      </c>
      <c r="F25" s="66"/>
      <c r="G25" s="66">
        <v>20</v>
      </c>
      <c r="H25" s="66"/>
      <c r="I25" s="30">
        <v>30</v>
      </c>
      <c r="J25" s="30">
        <v>15</v>
      </c>
      <c r="K25" s="30"/>
      <c r="L25" s="66">
        <v>40</v>
      </c>
      <c r="M25" s="66">
        <v>8</v>
      </c>
      <c r="N25" s="66"/>
      <c r="O25" s="30">
        <v>20</v>
      </c>
      <c r="P25" s="30"/>
      <c r="Q25" s="30"/>
      <c r="R25" s="30">
        <f t="shared" si="0"/>
        <v>133</v>
      </c>
      <c r="S25" s="58"/>
      <c r="T25" s="59">
        <f t="shared" si="1"/>
        <v>0</v>
      </c>
    </row>
    <row r="26" spans="2:20" s="45" customFormat="1" x14ac:dyDescent="0.2">
      <c r="B26" s="30">
        <v>16</v>
      </c>
      <c r="C26" s="30" t="s">
        <v>50</v>
      </c>
      <c r="D26" s="36" t="s">
        <v>81</v>
      </c>
      <c r="E26" s="33" t="s">
        <v>52</v>
      </c>
      <c r="F26" s="66"/>
      <c r="G26" s="66">
        <v>20</v>
      </c>
      <c r="H26" s="66"/>
      <c r="I26" s="30">
        <v>40</v>
      </c>
      <c r="J26" s="30">
        <v>22</v>
      </c>
      <c r="K26" s="30"/>
      <c r="L26" s="66">
        <v>40</v>
      </c>
      <c r="M26" s="66">
        <v>3</v>
      </c>
      <c r="N26" s="66"/>
      <c r="O26" s="30">
        <v>20</v>
      </c>
      <c r="P26" s="30"/>
      <c r="Q26" s="30"/>
      <c r="R26" s="30">
        <f t="shared" si="0"/>
        <v>145</v>
      </c>
      <c r="S26" s="58"/>
      <c r="T26" s="59">
        <f t="shared" si="1"/>
        <v>0</v>
      </c>
    </row>
    <row r="27" spans="2:20" s="45" customFormat="1" x14ac:dyDescent="0.2">
      <c r="B27" s="30">
        <v>17</v>
      </c>
      <c r="C27" s="30" t="s">
        <v>50</v>
      </c>
      <c r="D27" s="36" t="s">
        <v>82</v>
      </c>
      <c r="E27" s="33" t="s">
        <v>87</v>
      </c>
      <c r="F27" s="66"/>
      <c r="G27" s="66">
        <v>20</v>
      </c>
      <c r="H27" s="66"/>
      <c r="I27" s="30">
        <v>30</v>
      </c>
      <c r="J27" s="30">
        <v>2</v>
      </c>
      <c r="K27" s="30"/>
      <c r="L27" s="66">
        <v>50</v>
      </c>
      <c r="M27" s="66">
        <v>3</v>
      </c>
      <c r="N27" s="66"/>
      <c r="O27" s="30">
        <v>30</v>
      </c>
      <c r="P27" s="30"/>
      <c r="Q27" s="30"/>
      <c r="R27" s="30">
        <f t="shared" si="0"/>
        <v>135</v>
      </c>
      <c r="S27" s="58"/>
      <c r="T27" s="59">
        <f t="shared" si="1"/>
        <v>0</v>
      </c>
    </row>
    <row r="28" spans="2:20" s="45" customFormat="1" x14ac:dyDescent="0.2">
      <c r="B28" s="30">
        <v>18</v>
      </c>
      <c r="C28" s="30" t="s">
        <v>50</v>
      </c>
      <c r="D28" s="36" t="s">
        <v>83</v>
      </c>
      <c r="E28" s="33" t="s">
        <v>88</v>
      </c>
      <c r="F28" s="66">
        <v>36</v>
      </c>
      <c r="G28" s="66">
        <v>14</v>
      </c>
      <c r="H28" s="66"/>
      <c r="I28" s="30">
        <v>46</v>
      </c>
      <c r="J28" s="30">
        <v>12</v>
      </c>
      <c r="K28" s="30">
        <v>10</v>
      </c>
      <c r="L28" s="66">
        <v>0</v>
      </c>
      <c r="M28" s="66">
        <v>40</v>
      </c>
      <c r="N28" s="66"/>
      <c r="O28" s="30">
        <v>8</v>
      </c>
      <c r="P28" s="30">
        <v>40</v>
      </c>
      <c r="Q28" s="30"/>
      <c r="R28" s="30">
        <f t="shared" si="0"/>
        <v>206</v>
      </c>
      <c r="S28" s="58"/>
      <c r="T28" s="59">
        <f t="shared" si="1"/>
        <v>0</v>
      </c>
    </row>
    <row r="29" spans="2:20" s="45" customFormat="1" x14ac:dyDescent="0.2">
      <c r="B29" s="30">
        <v>19</v>
      </c>
      <c r="C29" s="30" t="s">
        <v>50</v>
      </c>
      <c r="D29" s="36" t="s">
        <v>84</v>
      </c>
      <c r="E29" s="33" t="s">
        <v>88</v>
      </c>
      <c r="F29" s="66"/>
      <c r="G29" s="66">
        <v>5</v>
      </c>
      <c r="H29" s="66"/>
      <c r="I29" s="30">
        <v>6</v>
      </c>
      <c r="J29" s="30"/>
      <c r="K29" s="30">
        <v>15</v>
      </c>
      <c r="L29" s="66">
        <v>0</v>
      </c>
      <c r="M29" s="66"/>
      <c r="N29" s="66"/>
      <c r="O29" s="30">
        <v>6</v>
      </c>
      <c r="P29" s="30"/>
      <c r="Q29" s="30"/>
      <c r="R29" s="30">
        <f t="shared" si="0"/>
        <v>32</v>
      </c>
      <c r="S29" s="58"/>
      <c r="T29" s="59">
        <f t="shared" si="1"/>
        <v>0</v>
      </c>
    </row>
    <row r="30" spans="2:20" s="45" customFormat="1" x14ac:dyDescent="0.2">
      <c r="B30" s="30">
        <v>20</v>
      </c>
      <c r="C30" s="30" t="s">
        <v>50</v>
      </c>
      <c r="D30" s="35" t="s">
        <v>108</v>
      </c>
      <c r="E30" s="30" t="s">
        <v>85</v>
      </c>
      <c r="F30" s="66">
        <v>8</v>
      </c>
      <c r="G30" s="66">
        <v>27</v>
      </c>
      <c r="H30" s="66"/>
      <c r="I30" s="30">
        <v>40</v>
      </c>
      <c r="J30" s="30">
        <v>3</v>
      </c>
      <c r="K30" s="30"/>
      <c r="L30" s="66">
        <v>40</v>
      </c>
      <c r="M30" s="66">
        <v>4</v>
      </c>
      <c r="N30" s="66"/>
      <c r="O30" s="30">
        <v>15</v>
      </c>
      <c r="P30" s="30">
        <v>7</v>
      </c>
      <c r="Q30" s="30"/>
      <c r="R30" s="30">
        <f t="shared" si="0"/>
        <v>144</v>
      </c>
      <c r="S30" s="58">
        <v>25.55</v>
      </c>
      <c r="T30" s="59">
        <f t="shared" si="1"/>
        <v>3679.2000000000003</v>
      </c>
    </row>
    <row r="31" spans="2:20" s="45" customFormat="1" x14ac:dyDescent="0.2">
      <c r="B31" s="30">
        <v>21</v>
      </c>
      <c r="C31" s="30" t="s">
        <v>50</v>
      </c>
      <c r="D31" s="35" t="s">
        <v>109</v>
      </c>
      <c r="E31" s="30" t="s">
        <v>85</v>
      </c>
      <c r="F31" s="66"/>
      <c r="G31" s="66">
        <v>0</v>
      </c>
      <c r="H31" s="66"/>
      <c r="I31" s="30">
        <v>10</v>
      </c>
      <c r="J31" s="30">
        <v>12</v>
      </c>
      <c r="K31" s="30">
        <v>12</v>
      </c>
      <c r="L31" s="66">
        <v>0</v>
      </c>
      <c r="M31" s="66"/>
      <c r="N31" s="66"/>
      <c r="O31" s="30">
        <v>0</v>
      </c>
      <c r="P31" s="30"/>
      <c r="Q31" s="30"/>
      <c r="R31" s="30">
        <f t="shared" si="0"/>
        <v>34</v>
      </c>
      <c r="S31" s="58"/>
      <c r="T31" s="59">
        <f t="shared" si="1"/>
        <v>0</v>
      </c>
    </row>
    <row r="32" spans="2:20" s="45" customFormat="1" ht="25.5" x14ac:dyDescent="0.2">
      <c r="B32" s="30">
        <v>22</v>
      </c>
      <c r="C32" s="30" t="s">
        <v>50</v>
      </c>
      <c r="D32" s="35" t="s">
        <v>110</v>
      </c>
      <c r="E32" s="30" t="s">
        <v>85</v>
      </c>
      <c r="F32" s="66">
        <v>5</v>
      </c>
      <c r="G32" s="66">
        <v>0</v>
      </c>
      <c r="H32" s="66"/>
      <c r="I32" s="30">
        <v>10</v>
      </c>
      <c r="J32" s="30">
        <v>8</v>
      </c>
      <c r="K32" s="30"/>
      <c r="L32" s="66">
        <v>0</v>
      </c>
      <c r="M32" s="66">
        <v>3</v>
      </c>
      <c r="N32" s="66"/>
      <c r="O32" s="30">
        <v>10</v>
      </c>
      <c r="P32" s="30"/>
      <c r="Q32" s="30"/>
      <c r="R32" s="30">
        <f t="shared" si="0"/>
        <v>36</v>
      </c>
      <c r="S32" s="58">
        <v>9</v>
      </c>
      <c r="T32" s="59">
        <f t="shared" si="1"/>
        <v>324</v>
      </c>
    </row>
    <row r="33" spans="2:20" s="45" customFormat="1" x14ac:dyDescent="0.2">
      <c r="B33" s="30">
        <v>23</v>
      </c>
      <c r="C33" s="30" t="s">
        <v>50</v>
      </c>
      <c r="D33" s="35" t="s">
        <v>111</v>
      </c>
      <c r="E33" s="30" t="s">
        <v>85</v>
      </c>
      <c r="F33" s="66"/>
      <c r="G33" s="66">
        <v>0</v>
      </c>
      <c r="H33" s="66"/>
      <c r="I33" s="30">
        <v>10</v>
      </c>
      <c r="J33" s="30"/>
      <c r="K33" s="30">
        <v>10</v>
      </c>
      <c r="L33" s="66">
        <v>0</v>
      </c>
      <c r="M33" s="66"/>
      <c r="N33" s="66"/>
      <c r="O33" s="30">
        <v>20</v>
      </c>
      <c r="P33" s="30"/>
      <c r="Q33" s="30"/>
      <c r="R33" s="30">
        <f t="shared" si="0"/>
        <v>40</v>
      </c>
      <c r="S33" s="58"/>
      <c r="T33" s="59">
        <f t="shared" si="1"/>
        <v>0</v>
      </c>
    </row>
    <row r="34" spans="2:20" s="45" customFormat="1" x14ac:dyDescent="0.2">
      <c r="B34" s="30">
        <v>24</v>
      </c>
      <c r="C34" s="30" t="s">
        <v>50</v>
      </c>
      <c r="D34" s="35" t="s">
        <v>121</v>
      </c>
      <c r="E34" s="30" t="s">
        <v>85</v>
      </c>
      <c r="F34" s="66"/>
      <c r="G34" s="66">
        <v>1</v>
      </c>
      <c r="H34" s="66"/>
      <c r="I34" s="30">
        <v>0</v>
      </c>
      <c r="J34" s="30">
        <v>1</v>
      </c>
      <c r="K34" s="30"/>
      <c r="L34" s="66">
        <v>5</v>
      </c>
      <c r="M34" s="66">
        <v>3</v>
      </c>
      <c r="N34" s="66"/>
      <c r="O34" s="30">
        <v>0</v>
      </c>
      <c r="P34" s="30">
        <v>1</v>
      </c>
      <c r="Q34" s="30"/>
      <c r="R34" s="30">
        <f t="shared" si="0"/>
        <v>11</v>
      </c>
      <c r="S34" s="58"/>
      <c r="T34" s="59">
        <f t="shared" si="1"/>
        <v>0</v>
      </c>
    </row>
    <row r="35" spans="2:20" s="45" customFormat="1" x14ac:dyDescent="0.2">
      <c r="B35" s="30">
        <v>25</v>
      </c>
      <c r="C35" s="30" t="s">
        <v>50</v>
      </c>
      <c r="D35" s="35" t="s">
        <v>122</v>
      </c>
      <c r="E35" s="30" t="s">
        <v>85</v>
      </c>
      <c r="F35" s="66"/>
      <c r="G35" s="66">
        <v>0</v>
      </c>
      <c r="H35" s="66"/>
      <c r="I35" s="30">
        <v>0</v>
      </c>
      <c r="J35" s="30">
        <v>3</v>
      </c>
      <c r="K35" s="30"/>
      <c r="L35" s="66">
        <v>5</v>
      </c>
      <c r="M35" s="66">
        <v>4</v>
      </c>
      <c r="N35" s="66"/>
      <c r="O35" s="30">
        <v>0</v>
      </c>
      <c r="P35" s="30"/>
      <c r="Q35" s="30"/>
      <c r="R35" s="30">
        <f t="shared" si="0"/>
        <v>12</v>
      </c>
      <c r="S35" s="58"/>
      <c r="T35" s="59">
        <f t="shared" si="1"/>
        <v>0</v>
      </c>
    </row>
    <row r="36" spans="2:20" s="45" customFormat="1" x14ac:dyDescent="0.2">
      <c r="B36" s="30">
        <v>26</v>
      </c>
      <c r="C36" s="30" t="s">
        <v>50</v>
      </c>
      <c r="D36" s="35" t="s">
        <v>123</v>
      </c>
      <c r="E36" s="30" t="s">
        <v>85</v>
      </c>
      <c r="F36" s="66"/>
      <c r="G36" s="66">
        <v>0</v>
      </c>
      <c r="H36" s="66"/>
      <c r="I36" s="30">
        <v>0</v>
      </c>
      <c r="J36" s="30">
        <v>12</v>
      </c>
      <c r="K36" s="30"/>
      <c r="L36" s="66">
        <v>5</v>
      </c>
      <c r="M36" s="66">
        <v>6</v>
      </c>
      <c r="N36" s="66"/>
      <c r="O36" s="30">
        <v>0</v>
      </c>
      <c r="P36" s="30"/>
      <c r="Q36" s="30"/>
      <c r="R36" s="30">
        <f t="shared" si="0"/>
        <v>23</v>
      </c>
      <c r="S36" s="58"/>
      <c r="T36" s="59">
        <f t="shared" si="1"/>
        <v>0</v>
      </c>
    </row>
    <row r="37" spans="2:20" s="45" customFormat="1" x14ac:dyDescent="0.2">
      <c r="B37" s="30">
        <v>27</v>
      </c>
      <c r="C37" s="30" t="s">
        <v>50</v>
      </c>
      <c r="D37" s="35" t="s">
        <v>124</v>
      </c>
      <c r="E37" s="30" t="s">
        <v>85</v>
      </c>
      <c r="F37" s="66"/>
      <c r="G37" s="66">
        <v>0</v>
      </c>
      <c r="H37" s="66"/>
      <c r="I37" s="30">
        <v>0</v>
      </c>
      <c r="J37" s="30"/>
      <c r="K37" s="30"/>
      <c r="L37" s="66">
        <v>10</v>
      </c>
      <c r="M37" s="66">
        <v>4</v>
      </c>
      <c r="N37" s="66"/>
      <c r="O37" s="30">
        <v>0</v>
      </c>
      <c r="P37" s="30"/>
      <c r="Q37" s="30"/>
      <c r="R37" s="30">
        <f>+SUM(F33:Q33)</f>
        <v>40</v>
      </c>
      <c r="S37" s="58"/>
      <c r="T37" s="59">
        <f t="shared" si="1"/>
        <v>0</v>
      </c>
    </row>
    <row r="38" spans="2:20" s="45" customFormat="1" x14ac:dyDescent="0.2">
      <c r="B38" s="65">
        <v>28</v>
      </c>
      <c r="C38" s="30" t="s">
        <v>50</v>
      </c>
      <c r="D38" s="35" t="s">
        <v>125</v>
      </c>
      <c r="E38" s="30" t="s">
        <v>85</v>
      </c>
      <c r="F38" s="66">
        <v>3</v>
      </c>
      <c r="G38" s="66">
        <v>1</v>
      </c>
      <c r="H38" s="66"/>
      <c r="I38" s="30">
        <v>3</v>
      </c>
      <c r="J38" s="30">
        <v>1</v>
      </c>
      <c r="K38" s="30"/>
      <c r="L38" s="66">
        <v>40</v>
      </c>
      <c r="M38" s="66">
        <v>4</v>
      </c>
      <c r="N38" s="66"/>
      <c r="O38" s="30">
        <v>15</v>
      </c>
      <c r="P38" s="30">
        <v>7</v>
      </c>
      <c r="Q38" s="30"/>
      <c r="R38" s="30">
        <f t="shared" si="0"/>
        <v>74</v>
      </c>
      <c r="S38" s="58">
        <v>48.28</v>
      </c>
      <c r="T38" s="59">
        <f t="shared" si="1"/>
        <v>3572.7200000000003</v>
      </c>
    </row>
    <row r="39" spans="2:20" s="45" customFormat="1" x14ac:dyDescent="0.2">
      <c r="B39" s="30">
        <v>29</v>
      </c>
      <c r="C39" s="30" t="s">
        <v>50</v>
      </c>
      <c r="D39" s="35" t="s">
        <v>127</v>
      </c>
      <c r="E39" s="30" t="s">
        <v>85</v>
      </c>
      <c r="F39" s="66">
        <v>5</v>
      </c>
      <c r="G39" s="66">
        <f>11+16</f>
        <v>27</v>
      </c>
      <c r="H39" s="66"/>
      <c r="I39" s="30"/>
      <c r="J39" s="30">
        <v>5</v>
      </c>
      <c r="K39" s="30"/>
      <c r="L39" s="66"/>
      <c r="M39" s="66">
        <v>3</v>
      </c>
      <c r="N39" s="66"/>
      <c r="O39" s="30"/>
      <c r="P39" s="30"/>
      <c r="Q39" s="30"/>
      <c r="R39" s="30">
        <f t="shared" si="0"/>
        <v>40</v>
      </c>
      <c r="S39" s="58">
        <v>21.74</v>
      </c>
      <c r="T39" s="59">
        <f t="shared" si="1"/>
        <v>869.59999999999991</v>
      </c>
    </row>
    <row r="40" spans="2:20" s="45" customFormat="1" ht="25.5" x14ac:dyDescent="0.2">
      <c r="B40" s="30">
        <v>30</v>
      </c>
      <c r="C40" s="30" t="s">
        <v>50</v>
      </c>
      <c r="D40" s="35" t="s">
        <v>128</v>
      </c>
      <c r="E40" s="30" t="s">
        <v>129</v>
      </c>
      <c r="F40" s="66">
        <v>3</v>
      </c>
      <c r="G40" s="66">
        <v>10</v>
      </c>
      <c r="H40" s="66"/>
      <c r="I40" s="30"/>
      <c r="J40" s="30"/>
      <c r="K40" s="30"/>
      <c r="L40" s="66"/>
      <c r="M40" s="66">
        <v>3</v>
      </c>
      <c r="N40" s="66"/>
      <c r="O40" s="30"/>
      <c r="P40" s="30"/>
      <c r="Q40" s="30"/>
      <c r="R40" s="30">
        <f t="shared" si="0"/>
        <v>16</v>
      </c>
      <c r="S40" s="58">
        <v>94.83</v>
      </c>
      <c r="T40" s="59">
        <f t="shared" si="1"/>
        <v>1517.28</v>
      </c>
    </row>
    <row r="41" spans="2:20" s="45" customFormat="1" x14ac:dyDescent="0.2">
      <c r="B41" s="30">
        <v>31</v>
      </c>
      <c r="C41" s="30" t="s">
        <v>50</v>
      </c>
      <c r="D41" s="35" t="s">
        <v>179</v>
      </c>
      <c r="E41" s="30" t="s">
        <v>85</v>
      </c>
      <c r="F41" s="66"/>
      <c r="G41" s="66">
        <v>71</v>
      </c>
      <c r="H41" s="66">
        <v>5</v>
      </c>
      <c r="I41" s="30"/>
      <c r="J41" s="30">
        <v>1</v>
      </c>
      <c r="K41" s="30"/>
      <c r="L41" s="66"/>
      <c r="M41" s="66">
        <v>1</v>
      </c>
      <c r="N41" s="66"/>
      <c r="O41" s="30"/>
      <c r="P41" s="30">
        <v>1</v>
      </c>
      <c r="Q41" s="30"/>
      <c r="R41" s="30">
        <f t="shared" si="0"/>
        <v>79</v>
      </c>
      <c r="S41" s="58">
        <v>61</v>
      </c>
      <c r="T41" s="59">
        <f t="shared" si="1"/>
        <v>4819</v>
      </c>
    </row>
    <row r="42" spans="2:20" s="45" customFormat="1" x14ac:dyDescent="0.2">
      <c r="B42" s="30">
        <v>32</v>
      </c>
      <c r="C42" s="30" t="s">
        <v>50</v>
      </c>
      <c r="D42" s="35" t="s">
        <v>180</v>
      </c>
      <c r="E42" s="30" t="s">
        <v>168</v>
      </c>
      <c r="F42" s="66">
        <v>12</v>
      </c>
      <c r="G42" s="66">
        <f>13+14</f>
        <v>27</v>
      </c>
      <c r="H42" s="66"/>
      <c r="I42" s="30">
        <v>12</v>
      </c>
      <c r="J42" s="30"/>
      <c r="K42" s="30"/>
      <c r="L42" s="66"/>
      <c r="M42" s="66">
        <v>12</v>
      </c>
      <c r="N42" s="66"/>
      <c r="O42" s="30"/>
      <c r="P42" s="30">
        <v>12</v>
      </c>
      <c r="Q42" s="30"/>
      <c r="R42" s="30">
        <f t="shared" si="0"/>
        <v>75</v>
      </c>
      <c r="S42" s="58">
        <v>28</v>
      </c>
      <c r="T42" s="59">
        <f t="shared" si="1"/>
        <v>2100</v>
      </c>
    </row>
    <row r="43" spans="2:20" s="45" customFormat="1" x14ac:dyDescent="0.2">
      <c r="B43" s="30">
        <v>33</v>
      </c>
      <c r="C43" s="30" t="s">
        <v>50</v>
      </c>
      <c r="D43" s="35" t="s">
        <v>260</v>
      </c>
      <c r="E43" s="30" t="s">
        <v>85</v>
      </c>
      <c r="F43" s="66"/>
      <c r="G43" s="66">
        <v>10</v>
      </c>
      <c r="H43" s="66"/>
      <c r="I43" s="30"/>
      <c r="J43" s="30"/>
      <c r="K43" s="30"/>
      <c r="L43" s="66"/>
      <c r="M43" s="66"/>
      <c r="N43" s="66"/>
      <c r="O43" s="30"/>
      <c r="P43" s="30"/>
      <c r="Q43" s="30"/>
      <c r="R43" s="30">
        <f t="shared" si="0"/>
        <v>10</v>
      </c>
      <c r="S43" s="58">
        <v>155.16999999999999</v>
      </c>
      <c r="T43" s="59">
        <f t="shared" si="1"/>
        <v>1551.6999999999998</v>
      </c>
    </row>
    <row r="44" spans="2:20" s="45" customFormat="1" x14ac:dyDescent="0.2">
      <c r="B44" s="65">
        <v>34</v>
      </c>
      <c r="C44" s="30" t="s">
        <v>50</v>
      </c>
      <c r="D44" s="35" t="s">
        <v>815</v>
      </c>
      <c r="E44" s="30" t="s">
        <v>85</v>
      </c>
      <c r="F44" s="66"/>
      <c r="G44" s="66">
        <v>1</v>
      </c>
      <c r="H44" s="66"/>
      <c r="I44" s="30"/>
      <c r="J44" s="30">
        <v>1</v>
      </c>
      <c r="K44" s="30"/>
      <c r="L44" s="66"/>
      <c r="M44" s="66">
        <v>1</v>
      </c>
      <c r="N44" s="66"/>
      <c r="O44" s="30"/>
      <c r="P44" s="30">
        <v>1</v>
      </c>
      <c r="Q44" s="30"/>
      <c r="R44" s="30">
        <f t="shared" si="0"/>
        <v>4</v>
      </c>
      <c r="S44" s="58">
        <v>39.200000000000003</v>
      </c>
      <c r="T44" s="59">
        <f t="shared" si="1"/>
        <v>156.80000000000001</v>
      </c>
    </row>
    <row r="45" spans="2:20" s="45" customFormat="1" ht="25.5" x14ac:dyDescent="0.2">
      <c r="B45" s="65"/>
      <c r="C45" s="30"/>
      <c r="D45" s="35" t="s">
        <v>816</v>
      </c>
      <c r="E45" s="30" t="s">
        <v>85</v>
      </c>
      <c r="F45" s="66"/>
      <c r="G45" s="66">
        <v>1</v>
      </c>
      <c r="H45" s="66"/>
      <c r="I45" s="30"/>
      <c r="J45" s="30">
        <v>1</v>
      </c>
      <c r="K45" s="30"/>
      <c r="L45" s="66"/>
      <c r="M45" s="66">
        <v>1</v>
      </c>
      <c r="N45" s="66"/>
      <c r="O45" s="30">
        <v>1</v>
      </c>
      <c r="P45" s="30"/>
      <c r="Q45" s="30"/>
      <c r="R45" s="30">
        <v>4</v>
      </c>
      <c r="S45" s="58">
        <v>27.5</v>
      </c>
      <c r="T45" s="59">
        <f>R45*S45</f>
        <v>110</v>
      </c>
    </row>
    <row r="46" spans="2:20" s="45" customFormat="1" x14ac:dyDescent="0.2">
      <c r="B46" s="65"/>
      <c r="C46" s="30"/>
      <c r="D46" s="35" t="s">
        <v>817</v>
      </c>
      <c r="E46" s="30" t="s">
        <v>85</v>
      </c>
      <c r="F46" s="66"/>
      <c r="G46" s="66">
        <v>1</v>
      </c>
      <c r="H46" s="66"/>
      <c r="I46" s="30"/>
      <c r="J46" s="30">
        <v>1</v>
      </c>
      <c r="K46" s="30"/>
      <c r="L46" s="66"/>
      <c r="M46" s="66">
        <v>1</v>
      </c>
      <c r="N46" s="66"/>
      <c r="O46" s="30"/>
      <c r="P46" s="30">
        <v>1</v>
      </c>
      <c r="Q46" s="30"/>
      <c r="R46" s="30">
        <v>4</v>
      </c>
      <c r="S46" s="58">
        <v>26.95</v>
      </c>
      <c r="T46" s="59">
        <f>R46*S46</f>
        <v>107.8</v>
      </c>
    </row>
    <row r="47" spans="2:20" s="45" customFormat="1" x14ac:dyDescent="0.2">
      <c r="B47" s="65"/>
      <c r="C47" s="30"/>
      <c r="D47" s="35" t="s">
        <v>818</v>
      </c>
      <c r="E47" s="30" t="s">
        <v>85</v>
      </c>
      <c r="F47" s="66"/>
      <c r="G47" s="66">
        <v>4</v>
      </c>
      <c r="H47" s="66"/>
      <c r="I47" s="30"/>
      <c r="J47" s="30">
        <v>4</v>
      </c>
      <c r="K47" s="30"/>
      <c r="L47" s="66"/>
      <c r="M47" s="66">
        <v>4</v>
      </c>
      <c r="N47" s="66"/>
      <c r="O47" s="30"/>
      <c r="P47" s="30">
        <v>4</v>
      </c>
      <c r="Q47" s="30"/>
      <c r="R47" s="30">
        <v>16</v>
      </c>
      <c r="S47" s="58">
        <v>42.75</v>
      </c>
      <c r="T47" s="59">
        <f>R47*S47</f>
        <v>684</v>
      </c>
    </row>
    <row r="48" spans="2:20" s="45" customFormat="1" x14ac:dyDescent="0.2">
      <c r="B48" s="65"/>
      <c r="C48" s="30"/>
      <c r="D48" s="35" t="s">
        <v>819</v>
      </c>
      <c r="E48" s="30" t="s">
        <v>85</v>
      </c>
      <c r="F48" s="66"/>
      <c r="G48" s="66">
        <v>1</v>
      </c>
      <c r="H48" s="66"/>
      <c r="I48" s="30"/>
      <c r="J48" s="30">
        <v>1</v>
      </c>
      <c r="K48" s="30"/>
      <c r="L48" s="66"/>
      <c r="M48" s="66">
        <v>1</v>
      </c>
      <c r="N48" s="66"/>
      <c r="O48" s="30"/>
      <c r="P48" s="30">
        <v>1</v>
      </c>
      <c r="Q48" s="30"/>
      <c r="R48" s="30">
        <v>4</v>
      </c>
      <c r="S48" s="58">
        <v>31.73</v>
      </c>
      <c r="T48" s="59">
        <f>R48*S48</f>
        <v>126.92</v>
      </c>
    </row>
    <row r="49" spans="2:20" s="45" customFormat="1" x14ac:dyDescent="0.2">
      <c r="B49" s="65"/>
      <c r="C49" s="30"/>
      <c r="D49" s="35"/>
      <c r="E49" s="30"/>
      <c r="F49" s="66"/>
      <c r="G49" s="66"/>
      <c r="H49" s="66"/>
      <c r="I49" s="30"/>
      <c r="J49" s="30"/>
      <c r="K49" s="30"/>
      <c r="L49" s="66"/>
      <c r="M49" s="66"/>
      <c r="N49" s="66"/>
      <c r="O49" s="30"/>
      <c r="P49" s="30"/>
      <c r="Q49" s="30"/>
      <c r="R49" s="30"/>
      <c r="S49" s="58"/>
      <c r="T49" s="59"/>
    </row>
    <row r="50" spans="2:20" x14ac:dyDescent="0.2">
      <c r="B50" s="14"/>
      <c r="C50" s="7"/>
      <c r="D50" s="7"/>
      <c r="E50" s="7"/>
      <c r="F50" s="73"/>
      <c r="G50" s="73"/>
      <c r="H50" s="73"/>
      <c r="I50" s="7"/>
      <c r="J50" s="7"/>
      <c r="K50" s="7"/>
      <c r="L50" s="73"/>
      <c r="M50" s="73"/>
      <c r="N50" s="73"/>
      <c r="O50" s="7"/>
      <c r="P50" s="7"/>
      <c r="Q50" s="7"/>
      <c r="R50" s="7"/>
      <c r="S50" s="9"/>
      <c r="T50" s="15"/>
    </row>
    <row r="51" spans="2:20" ht="13.5" thickBot="1" x14ac:dyDescent="0.25">
      <c r="B51" s="16"/>
      <c r="C51" s="17"/>
      <c r="D51" s="17"/>
      <c r="E51" s="17"/>
      <c r="F51" s="75"/>
      <c r="G51" s="75"/>
      <c r="H51" s="75"/>
      <c r="I51" s="17"/>
      <c r="J51" s="17"/>
      <c r="K51" s="17"/>
      <c r="L51" s="75"/>
      <c r="M51" s="75"/>
      <c r="N51" s="75"/>
      <c r="O51" s="17"/>
      <c r="P51" s="17"/>
      <c r="Q51" s="17"/>
      <c r="R51" s="17"/>
      <c r="S51" s="19"/>
      <c r="T51" s="20"/>
    </row>
    <row r="52" spans="2:20" x14ac:dyDescent="0.2">
      <c r="B52" s="13"/>
      <c r="C52" s="13"/>
      <c r="D52" s="1"/>
      <c r="E52" s="13"/>
      <c r="F52" s="1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 t="s">
        <v>18</v>
      </c>
      <c r="T52" s="26">
        <f>+SUM(T11:T51)*0.16</f>
        <v>30130.779200000004</v>
      </c>
    </row>
    <row r="53" spans="2:20" x14ac:dyDescent="0.2">
      <c r="B53" s="13"/>
      <c r="C53" s="13"/>
      <c r="D53" s="1"/>
      <c r="E53" s="13"/>
      <c r="F53" s="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7" t="s">
        <v>17</v>
      </c>
      <c r="T53" s="28">
        <f>SUM(T11:T52)</f>
        <v>218448.14920000004</v>
      </c>
    </row>
    <row r="54" spans="2:20" x14ac:dyDescent="0.2">
      <c r="B54" s="13"/>
      <c r="C54" s="13"/>
      <c r="D54" s="1"/>
      <c r="E54" s="13"/>
      <c r="F54" s="1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1"/>
      <c r="T54" s="11"/>
    </row>
    <row r="55" spans="2:20" x14ac:dyDescent="0.2">
      <c r="B55" s="1"/>
      <c r="C55" s="1"/>
      <c r="D55" s="1"/>
      <c r="E55" s="1"/>
      <c r="F55" s="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"/>
      <c r="T55" s="12"/>
    </row>
    <row r="56" spans="2:20" x14ac:dyDescent="0.2">
      <c r="B56" s="1"/>
      <c r="C56" s="1"/>
      <c r="D56" s="1"/>
      <c r="E56" s="1"/>
      <c r="F56" s="1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"/>
      <c r="T56" s="1"/>
    </row>
    <row r="57" spans="2:20" x14ac:dyDescent="0.2">
      <c r="B57" s="29"/>
      <c r="C57" s="29"/>
      <c r="D57" s="29"/>
      <c r="E57" s="29"/>
      <c r="F57" s="29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29"/>
      <c r="T57" s="29"/>
    </row>
    <row r="58" spans="2:20" x14ac:dyDescent="0.2">
      <c r="B58" s="29"/>
      <c r="C58" s="29"/>
      <c r="D58" s="29"/>
      <c r="E58" s="29"/>
      <c r="F58" s="29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29"/>
      <c r="T58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selection activeCell="D18" sqref="D18"/>
    </sheetView>
  </sheetViews>
  <sheetFormatPr baseColWidth="10" defaultRowHeight="12.75" x14ac:dyDescent="0.2"/>
  <cols>
    <col min="1" max="1" width="3.42578125" customWidth="1"/>
    <col min="4" max="4" width="24.7109375" customWidth="1"/>
  </cols>
  <sheetData>
    <row r="1" spans="1:21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  <c r="U1" s="6"/>
    </row>
    <row r="2" spans="1:21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  <c r="U3" s="6"/>
    </row>
    <row r="4" spans="1:21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  <c r="U4" s="6"/>
    </row>
    <row r="5" spans="1:21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1:21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1:21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1:21" x14ac:dyDescent="0.2">
      <c r="A8" s="2"/>
      <c r="B8" s="292" t="s">
        <v>19</v>
      </c>
      <c r="C8" s="292"/>
      <c r="D8" s="10" t="s">
        <v>483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3.5" thickBot="1" x14ac:dyDescent="0.25"/>
    <row r="10" spans="1:21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1" ht="13.5" thickBot="1" x14ac:dyDescent="0.25">
      <c r="B11" s="131">
        <v>1</v>
      </c>
      <c r="C11" s="132" t="s">
        <v>476</v>
      </c>
      <c r="D11" s="133" t="s">
        <v>484</v>
      </c>
      <c r="E11" s="132">
        <v>1</v>
      </c>
      <c r="F11" s="132">
        <v>2</v>
      </c>
      <c r="G11" s="134"/>
      <c r="H11" s="135"/>
      <c r="I11" s="134"/>
      <c r="J11" s="135"/>
      <c r="K11" s="134"/>
      <c r="L11" s="135"/>
      <c r="M11" s="134"/>
      <c r="N11" s="135"/>
      <c r="O11" s="135"/>
      <c r="P11" s="135"/>
      <c r="Q11" s="136"/>
      <c r="R11" s="137"/>
      <c r="S11" s="9">
        <v>151122.07</v>
      </c>
      <c r="T11" s="138">
        <f>F11*S11</f>
        <v>302244.14</v>
      </c>
    </row>
    <row r="12" spans="1:21" ht="13.5" thickBot="1" x14ac:dyDescent="0.25">
      <c r="B12" s="14"/>
      <c r="C12" s="132"/>
      <c r="D12" s="133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5"/>
    </row>
    <row r="13" spans="1:21" x14ac:dyDescent="0.2">
      <c r="B13" s="14"/>
      <c r="C13" s="132"/>
      <c r="D13" s="133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5"/>
    </row>
    <row r="14" spans="1:21" x14ac:dyDescent="0.2">
      <c r="B14" s="14"/>
      <c r="C14" s="7"/>
      <c r="D14" s="139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1:21" x14ac:dyDescent="0.2">
      <c r="B15" s="14"/>
      <c r="C15" s="7"/>
      <c r="D15" s="139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1:21" x14ac:dyDescent="0.2">
      <c r="B16" s="14"/>
      <c r="C16" s="140"/>
      <c r="D16" s="139"/>
      <c r="E16" s="140"/>
      <c r="F16" s="140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1" t="s">
        <v>18</v>
      </c>
      <c r="T47" s="26">
        <f>SUM(T11:T46)*0.16</f>
        <v>48359.062400000003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2" t="s">
        <v>17</v>
      </c>
      <c r="T48" s="28">
        <f>SUM(T11:T47)</f>
        <v>350603.20240000001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41"/>
      <c r="T49" s="141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7" workbookViewId="0">
      <selection activeCell="I31" sqref="I31"/>
    </sheetView>
  </sheetViews>
  <sheetFormatPr baseColWidth="10" defaultRowHeight="12.75" x14ac:dyDescent="0.2"/>
  <cols>
    <col min="1" max="1" width="3.7109375" customWidth="1"/>
    <col min="4" max="4" width="25.7109375" customWidth="1"/>
  </cols>
  <sheetData>
    <row r="1" spans="1:21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  <c r="U1" s="6"/>
    </row>
    <row r="2" spans="1:21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  <c r="U3" s="6"/>
    </row>
    <row r="4" spans="1:21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  <c r="U4" s="6"/>
    </row>
    <row r="5" spans="1:21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1:21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1:21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1:21" x14ac:dyDescent="0.2">
      <c r="A8" s="2"/>
      <c r="B8" s="292" t="s">
        <v>19</v>
      </c>
      <c r="C8" s="292"/>
      <c r="D8" s="10" t="s">
        <v>485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3.5" thickBot="1" x14ac:dyDescent="0.25"/>
    <row r="10" spans="1:21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1" ht="13.5" thickBot="1" x14ac:dyDescent="0.25">
      <c r="B11" s="131">
        <v>1</v>
      </c>
      <c r="C11" s="132" t="s">
        <v>476</v>
      </c>
      <c r="D11" s="133" t="s">
        <v>486</v>
      </c>
      <c r="E11" s="132" t="s">
        <v>478</v>
      </c>
      <c r="F11" s="132">
        <v>10</v>
      </c>
      <c r="G11" s="134"/>
      <c r="H11" s="135"/>
      <c r="I11" s="134"/>
      <c r="J11" s="135"/>
      <c r="K11" s="134"/>
      <c r="L11" s="135"/>
      <c r="M11" s="134"/>
      <c r="N11" s="135"/>
      <c r="O11" s="135"/>
      <c r="P11" s="135"/>
      <c r="Q11" s="136"/>
      <c r="R11" s="137"/>
      <c r="S11" s="9">
        <v>6180</v>
      </c>
      <c r="T11" s="138">
        <f>F11*S11</f>
        <v>61800</v>
      </c>
    </row>
    <row r="12" spans="1:21" ht="13.5" thickBot="1" x14ac:dyDescent="0.25">
      <c r="B12" s="14"/>
      <c r="C12" s="132"/>
      <c r="D12" s="133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5"/>
    </row>
    <row r="13" spans="1:21" x14ac:dyDescent="0.2">
      <c r="B13" s="14"/>
      <c r="C13" s="132"/>
      <c r="D13" s="133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5"/>
    </row>
    <row r="14" spans="1:21" x14ac:dyDescent="0.2">
      <c r="B14" s="14"/>
      <c r="C14" s="7"/>
      <c r="D14" s="139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1:21" x14ac:dyDescent="0.2">
      <c r="B15" s="14"/>
      <c r="C15" s="7"/>
      <c r="D15" s="139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1:21" x14ac:dyDescent="0.2">
      <c r="B16" s="14"/>
      <c r="C16" s="140"/>
      <c r="D16" s="139"/>
      <c r="E16" s="140"/>
      <c r="F16" s="140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1" t="s">
        <v>18</v>
      </c>
      <c r="T47" s="26">
        <f>SUM(T11:T46)*0.16</f>
        <v>9888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2" t="s">
        <v>17</v>
      </c>
      <c r="T48" s="28">
        <f>SUM(T11:T47)</f>
        <v>71688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41"/>
      <c r="T49" s="141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1"/>
  <sheetViews>
    <sheetView topLeftCell="E1" zoomScale="85" zoomScaleNormal="8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style="4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89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8" t="s">
        <v>90</v>
      </c>
      <c r="E11" s="30" t="s">
        <v>51</v>
      </c>
      <c r="F11" s="66">
        <v>29</v>
      </c>
      <c r="G11" s="66">
        <v>31</v>
      </c>
      <c r="H11" s="77">
        <v>5</v>
      </c>
      <c r="I11" s="30">
        <v>62</v>
      </c>
      <c r="J11" s="53">
        <v>6</v>
      </c>
      <c r="K11" s="53">
        <v>5</v>
      </c>
      <c r="L11" s="69">
        <v>102</v>
      </c>
      <c r="M11" s="69">
        <v>6</v>
      </c>
      <c r="N11" s="69">
        <v>5</v>
      </c>
      <c r="O11" s="53">
        <v>40</v>
      </c>
      <c r="P11" s="53">
        <v>44</v>
      </c>
      <c r="Q11" s="54">
        <v>5</v>
      </c>
      <c r="R11" s="53">
        <f>SUM(F11:Q11)</f>
        <v>340</v>
      </c>
      <c r="S11" s="55">
        <v>293.08</v>
      </c>
      <c r="T11" s="56">
        <f>S11*R11</f>
        <v>99647.2</v>
      </c>
    </row>
    <row r="12" spans="2:25" s="45" customFormat="1" x14ac:dyDescent="0.2">
      <c r="B12" s="30">
        <v>2</v>
      </c>
      <c r="C12" s="30" t="s">
        <v>50</v>
      </c>
      <c r="D12" s="38" t="s">
        <v>91</v>
      </c>
      <c r="E12" s="30" t="s">
        <v>51</v>
      </c>
      <c r="F12" s="66"/>
      <c r="G12" s="66">
        <v>30</v>
      </c>
      <c r="H12" s="77"/>
      <c r="I12" s="30">
        <v>40</v>
      </c>
      <c r="J12" s="30"/>
      <c r="K12" s="30"/>
      <c r="L12" s="66">
        <v>80</v>
      </c>
      <c r="M12" s="66">
        <v>13</v>
      </c>
      <c r="N12" s="66"/>
      <c r="O12" s="30">
        <v>40</v>
      </c>
      <c r="P12" s="30"/>
      <c r="Q12" s="57"/>
      <c r="R12" s="30">
        <f>+SUM(F12:Q12)</f>
        <v>203</v>
      </c>
      <c r="S12" s="58"/>
      <c r="T12" s="59">
        <f>+S12*R12</f>
        <v>0</v>
      </c>
    </row>
    <row r="13" spans="2:25" s="45" customFormat="1" x14ac:dyDescent="0.2">
      <c r="B13" s="30">
        <v>3</v>
      </c>
      <c r="C13" s="30" t="s">
        <v>50</v>
      </c>
      <c r="D13" s="38" t="s">
        <v>92</v>
      </c>
      <c r="E13" s="30" t="s">
        <v>51</v>
      </c>
      <c r="F13" s="66">
        <v>1</v>
      </c>
      <c r="G13" s="66">
        <v>26</v>
      </c>
      <c r="H13" s="77"/>
      <c r="I13" s="30">
        <v>0</v>
      </c>
      <c r="J13" s="30">
        <v>1</v>
      </c>
      <c r="K13" s="30"/>
      <c r="L13" s="66">
        <v>50</v>
      </c>
      <c r="M13" s="66">
        <v>3</v>
      </c>
      <c r="N13" s="66"/>
      <c r="O13" s="30">
        <v>40</v>
      </c>
      <c r="P13" s="30">
        <v>1</v>
      </c>
      <c r="Q13" s="57"/>
      <c r="R13" s="30">
        <f>+SUM(F13:Q13)</f>
        <v>122</v>
      </c>
      <c r="S13" s="58">
        <v>330.6</v>
      </c>
      <c r="T13" s="59">
        <f>+S13*R13</f>
        <v>40333.200000000004</v>
      </c>
    </row>
    <row r="14" spans="2:25" x14ac:dyDescent="0.2">
      <c r="B14" s="30">
        <v>4</v>
      </c>
      <c r="C14" s="30" t="s">
        <v>50</v>
      </c>
      <c r="D14" s="35" t="s">
        <v>130</v>
      </c>
      <c r="E14" s="30" t="s">
        <v>51</v>
      </c>
      <c r="F14" s="73">
        <v>3</v>
      </c>
      <c r="G14" s="66">
        <v>1</v>
      </c>
      <c r="H14" s="73"/>
      <c r="I14" s="7"/>
      <c r="J14" s="7">
        <v>1</v>
      </c>
      <c r="K14" s="7">
        <v>2</v>
      </c>
      <c r="L14" s="73"/>
      <c r="M14" s="73">
        <v>2</v>
      </c>
      <c r="N14" s="73"/>
      <c r="O14" s="7"/>
      <c r="P14" s="7">
        <v>2</v>
      </c>
      <c r="Q14" s="8"/>
      <c r="R14" s="30">
        <f t="shared" ref="R14:R16" si="0">+SUM(F14:Q14)</f>
        <v>11</v>
      </c>
      <c r="S14" s="9"/>
      <c r="T14" s="59">
        <f t="shared" ref="T14:T23" si="1">+S14*R14</f>
        <v>0</v>
      </c>
    </row>
    <row r="15" spans="2:25" x14ac:dyDescent="0.2">
      <c r="B15" s="30">
        <v>5</v>
      </c>
      <c r="C15" s="30" t="s">
        <v>50</v>
      </c>
      <c r="D15" s="35" t="s">
        <v>163</v>
      </c>
      <c r="E15" s="30" t="s">
        <v>164</v>
      </c>
      <c r="F15" s="73">
        <v>16</v>
      </c>
      <c r="G15" s="66">
        <v>2</v>
      </c>
      <c r="H15" s="73"/>
      <c r="I15" s="7">
        <v>16</v>
      </c>
      <c r="J15" s="7"/>
      <c r="K15" s="7">
        <v>1</v>
      </c>
      <c r="L15" s="73">
        <v>1</v>
      </c>
      <c r="M15" s="73">
        <v>3</v>
      </c>
      <c r="N15" s="73">
        <v>10</v>
      </c>
      <c r="O15" s="7"/>
      <c r="P15" s="7">
        <v>32</v>
      </c>
      <c r="Q15" s="8"/>
      <c r="R15" s="30">
        <f t="shared" si="0"/>
        <v>81</v>
      </c>
      <c r="S15" s="9">
        <v>67.28</v>
      </c>
      <c r="T15" s="59">
        <f t="shared" si="1"/>
        <v>5449.68</v>
      </c>
    </row>
    <row r="16" spans="2:25" x14ac:dyDescent="0.2">
      <c r="B16" s="30">
        <v>6</v>
      </c>
      <c r="C16" s="30" t="s">
        <v>50</v>
      </c>
      <c r="D16" s="35" t="s">
        <v>261</v>
      </c>
      <c r="E16" s="30" t="s">
        <v>51</v>
      </c>
      <c r="F16" s="73"/>
      <c r="G16" s="66">
        <v>10</v>
      </c>
      <c r="H16" s="73">
        <v>12</v>
      </c>
      <c r="I16" s="7"/>
      <c r="J16" s="7"/>
      <c r="K16" s="7"/>
      <c r="L16" s="73"/>
      <c r="M16" s="73">
        <v>3</v>
      </c>
      <c r="N16" s="73"/>
      <c r="O16" s="7"/>
      <c r="P16" s="7"/>
      <c r="Q16" s="8"/>
      <c r="R16" s="30">
        <f t="shared" si="0"/>
        <v>25</v>
      </c>
      <c r="S16" s="9">
        <v>310.35000000000002</v>
      </c>
      <c r="T16" s="59">
        <f t="shared" si="1"/>
        <v>7758.7500000000009</v>
      </c>
    </row>
    <row r="17" spans="2:20" x14ac:dyDescent="0.2">
      <c r="B17" s="30"/>
      <c r="C17" s="30"/>
      <c r="D17" s="35" t="s">
        <v>429</v>
      </c>
      <c r="E17" s="30" t="s">
        <v>164</v>
      </c>
      <c r="F17" s="73">
        <v>12</v>
      </c>
      <c r="G17" s="66"/>
      <c r="H17" s="73"/>
      <c r="I17" s="7">
        <v>12</v>
      </c>
      <c r="J17" s="7"/>
      <c r="K17" s="7"/>
      <c r="L17" s="73"/>
      <c r="M17" s="73">
        <v>12</v>
      </c>
      <c r="N17" s="73"/>
      <c r="O17" s="7"/>
      <c r="P17" s="7">
        <v>24</v>
      </c>
      <c r="Q17" s="8"/>
      <c r="R17" s="30">
        <f t="shared" ref="R17" si="2">+SUM(F17:Q17)</f>
        <v>60</v>
      </c>
      <c r="S17" s="9">
        <v>397</v>
      </c>
      <c r="T17" s="59">
        <f t="shared" ref="T17" si="3">+S17*R17</f>
        <v>23820</v>
      </c>
    </row>
    <row r="18" spans="2:20" x14ac:dyDescent="0.2">
      <c r="B18" s="30"/>
      <c r="C18" s="30"/>
      <c r="D18" s="35" t="s">
        <v>489</v>
      </c>
      <c r="E18" s="30" t="s">
        <v>490</v>
      </c>
      <c r="F18" s="73">
        <v>2</v>
      </c>
      <c r="G18" s="66"/>
      <c r="H18" s="73"/>
      <c r="I18" s="7"/>
      <c r="J18" s="7"/>
      <c r="K18" s="7"/>
      <c r="L18" s="73"/>
      <c r="M18" s="73"/>
      <c r="N18" s="73"/>
      <c r="O18" s="7"/>
      <c r="P18" s="7"/>
      <c r="Q18" s="8"/>
      <c r="R18" s="30">
        <v>2</v>
      </c>
      <c r="S18" s="9">
        <v>606.9</v>
      </c>
      <c r="T18" s="59">
        <f t="shared" si="1"/>
        <v>1213.8</v>
      </c>
    </row>
    <row r="19" spans="2:20" x14ac:dyDescent="0.2">
      <c r="B19" s="30"/>
      <c r="C19" s="30"/>
      <c r="D19" s="35"/>
      <c r="E19" s="30"/>
      <c r="F19" s="73"/>
      <c r="G19" s="66"/>
      <c r="H19" s="73"/>
      <c r="I19" s="7"/>
      <c r="J19" s="7"/>
      <c r="K19" s="7"/>
      <c r="L19" s="73"/>
      <c r="M19" s="73"/>
      <c r="N19" s="73"/>
      <c r="O19" s="7"/>
      <c r="P19" s="7"/>
      <c r="Q19" s="8"/>
      <c r="R19" s="30"/>
      <c r="S19" s="9"/>
      <c r="T19" s="59">
        <f t="shared" si="1"/>
        <v>0</v>
      </c>
    </row>
    <row r="20" spans="2:20" x14ac:dyDescent="0.2">
      <c r="B20" s="30"/>
      <c r="C20" s="30"/>
      <c r="D20" s="35"/>
      <c r="E20" s="30"/>
      <c r="F20" s="73"/>
      <c r="G20" s="66"/>
      <c r="H20" s="73"/>
      <c r="I20" s="7"/>
      <c r="J20" s="7"/>
      <c r="K20" s="7"/>
      <c r="L20" s="73"/>
      <c r="M20" s="73"/>
      <c r="N20" s="73"/>
      <c r="O20" s="7"/>
      <c r="P20" s="7"/>
      <c r="Q20" s="8"/>
      <c r="R20" s="30"/>
      <c r="S20" s="9"/>
      <c r="T20" s="59">
        <f t="shared" si="1"/>
        <v>0</v>
      </c>
    </row>
    <row r="21" spans="2:20" x14ac:dyDescent="0.2">
      <c r="B21" s="30"/>
      <c r="C21" s="30"/>
      <c r="D21" s="35"/>
      <c r="E21" s="30"/>
      <c r="F21" s="73"/>
      <c r="G21" s="66"/>
      <c r="H21" s="73"/>
      <c r="I21" s="7"/>
      <c r="J21" s="7"/>
      <c r="K21" s="7"/>
      <c r="L21" s="73"/>
      <c r="M21" s="73"/>
      <c r="N21" s="73"/>
      <c r="O21" s="7"/>
      <c r="P21" s="7"/>
      <c r="Q21" s="8"/>
      <c r="R21" s="30"/>
      <c r="S21" s="9"/>
      <c r="T21" s="59">
        <f t="shared" si="1"/>
        <v>0</v>
      </c>
    </row>
    <row r="22" spans="2:20" x14ac:dyDescent="0.2">
      <c r="B22" s="30"/>
      <c r="C22" s="30"/>
      <c r="D22" s="35"/>
      <c r="E22" s="30"/>
      <c r="F22" s="73"/>
      <c r="G22" s="66"/>
      <c r="H22" s="73"/>
      <c r="I22" s="7"/>
      <c r="J22" s="7"/>
      <c r="K22" s="8"/>
      <c r="L22" s="73"/>
      <c r="M22" s="74"/>
      <c r="N22" s="73"/>
      <c r="O22" s="8"/>
      <c r="P22" s="8"/>
      <c r="Q22" s="8"/>
      <c r="R22" s="30"/>
      <c r="S22" s="9"/>
      <c r="T22" s="59">
        <f t="shared" si="1"/>
        <v>0</v>
      </c>
    </row>
    <row r="23" spans="2:20" x14ac:dyDescent="0.2">
      <c r="B23" s="30"/>
      <c r="C23" s="30"/>
      <c r="D23" s="31"/>
      <c r="E23" s="30"/>
      <c r="F23" s="73"/>
      <c r="G23" s="66"/>
      <c r="H23" s="73"/>
      <c r="I23" s="7"/>
      <c r="J23" s="7"/>
      <c r="K23" s="8"/>
      <c r="L23" s="73"/>
      <c r="M23" s="74"/>
      <c r="N23" s="73"/>
      <c r="O23" s="8"/>
      <c r="P23" s="8"/>
      <c r="Q23" s="8"/>
      <c r="R23" s="30"/>
      <c r="S23" s="9"/>
      <c r="T23" s="59">
        <f t="shared" si="1"/>
        <v>0</v>
      </c>
    </row>
    <row r="24" spans="2:20" ht="13.5" thickBot="1" x14ac:dyDescent="0.25">
      <c r="B24" s="16"/>
      <c r="C24" s="17"/>
      <c r="D24" s="17"/>
      <c r="E24" s="17"/>
      <c r="F24" s="75"/>
      <c r="G24" s="76"/>
      <c r="H24" s="75"/>
      <c r="I24" s="17"/>
      <c r="J24" s="17"/>
      <c r="K24" s="18"/>
      <c r="L24" s="75"/>
      <c r="M24" s="76"/>
      <c r="N24" s="75"/>
      <c r="O24" s="18"/>
      <c r="P24" s="18"/>
      <c r="Q24" s="18"/>
      <c r="R24" s="62"/>
      <c r="S24" s="19"/>
      <c r="T24" s="20"/>
    </row>
    <row r="25" spans="2:20" x14ac:dyDescent="0.2">
      <c r="B25" s="13"/>
      <c r="C25" s="13"/>
      <c r="D25" s="1"/>
      <c r="E25" s="13"/>
      <c r="F25" s="13"/>
      <c r="G25" s="1"/>
      <c r="H25" s="1"/>
      <c r="I25" s="13"/>
      <c r="J25" s="1"/>
      <c r="K25" s="1"/>
      <c r="L25" s="1"/>
      <c r="M25" s="1"/>
      <c r="N25" s="1"/>
      <c r="O25" s="1"/>
      <c r="P25" s="1"/>
      <c r="Q25" s="1"/>
      <c r="R25" s="1"/>
      <c r="S25" s="11" t="s">
        <v>18</v>
      </c>
      <c r="T25" s="26">
        <f>+SUM(T11:T24)*0.16</f>
        <v>28515.620799999997</v>
      </c>
    </row>
    <row r="26" spans="2:20" x14ac:dyDescent="0.2">
      <c r="B26" s="13"/>
      <c r="C26" s="13"/>
      <c r="D26" s="1"/>
      <c r="E26" s="13"/>
      <c r="F26" s="13"/>
      <c r="G26" s="1"/>
      <c r="H26" s="1"/>
      <c r="I26" s="13"/>
      <c r="J26" s="1"/>
      <c r="K26" s="1"/>
      <c r="L26" s="1"/>
      <c r="M26" s="1"/>
      <c r="N26" s="1"/>
      <c r="O26" s="1"/>
      <c r="P26" s="1"/>
      <c r="Q26" s="1"/>
      <c r="R26" s="1"/>
      <c r="S26" s="27" t="s">
        <v>17</v>
      </c>
      <c r="T26" s="28">
        <f>SUM(T11:T25)</f>
        <v>206738.25079999998</v>
      </c>
    </row>
    <row r="27" spans="2:20" x14ac:dyDescent="0.2">
      <c r="B27" s="13"/>
      <c r="C27" s="13"/>
      <c r="D27" s="1"/>
      <c r="E27" s="13"/>
      <c r="F27" s="13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/>
      <c r="T27" s="11"/>
    </row>
    <row r="28" spans="2:20" x14ac:dyDescent="0.2">
      <c r="B28" s="1"/>
      <c r="C28" s="1"/>
      <c r="D28" s="1"/>
      <c r="E28" s="1"/>
      <c r="F28" s="13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2"/>
    </row>
    <row r="29" spans="2:20" x14ac:dyDescent="0.2">
      <c r="B29" s="1"/>
      <c r="C29" s="1"/>
      <c r="D29" s="1"/>
      <c r="E29" s="1"/>
      <c r="F29" s="13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">
      <c r="B30" s="29"/>
      <c r="C30" s="29"/>
      <c r="D30" s="29"/>
      <c r="E30" s="29"/>
      <c r="F30" s="42"/>
      <c r="G30" s="29"/>
      <c r="H30" s="29"/>
      <c r="I30" s="42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x14ac:dyDescent="0.2">
      <c r="B31" s="29"/>
      <c r="C31" s="29"/>
      <c r="D31" s="29"/>
      <c r="E31" s="29"/>
      <c r="F31" s="42"/>
      <c r="G31" s="29"/>
      <c r="H31" s="29"/>
      <c r="I31" s="42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D5" zoomScale="90" zoomScaleNormal="90" workbookViewId="0">
      <selection activeCell="M23" sqref="M2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607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80" t="s">
        <v>608</v>
      </c>
      <c r="E11" s="181" t="s">
        <v>168</v>
      </c>
      <c r="F11" s="7"/>
      <c r="G11" s="7">
        <v>3</v>
      </c>
      <c r="H11" s="7"/>
      <c r="I11" s="7">
        <v>3</v>
      </c>
      <c r="J11" s="7"/>
      <c r="K11" s="7">
        <v>3</v>
      </c>
      <c r="L11" s="7"/>
      <c r="M11" s="7">
        <v>3</v>
      </c>
      <c r="N11" s="7"/>
      <c r="O11" s="7">
        <v>3</v>
      </c>
      <c r="P11" s="7"/>
      <c r="Q11" s="7"/>
      <c r="R11" s="7">
        <f t="shared" ref="R11:R14" si="0">SUM(F11:Q11)</f>
        <v>15</v>
      </c>
      <c r="S11" s="182">
        <v>150</v>
      </c>
      <c r="T11" s="15">
        <f>+R11*S11</f>
        <v>2250</v>
      </c>
    </row>
    <row r="12" spans="2:23" s="183" customFormat="1" ht="11.25" x14ac:dyDescent="0.2">
      <c r="B12" s="14">
        <v>2</v>
      </c>
      <c r="C12" s="7" t="s">
        <v>50</v>
      </c>
      <c r="D12" s="184" t="s">
        <v>609</v>
      </c>
      <c r="E12" s="185" t="s">
        <v>168</v>
      </c>
      <c r="F12" s="7"/>
      <c r="G12" s="7">
        <v>3</v>
      </c>
      <c r="H12" s="7"/>
      <c r="I12" s="7">
        <v>3</v>
      </c>
      <c r="J12" s="7"/>
      <c r="K12" s="7">
        <v>3</v>
      </c>
      <c r="L12" s="7"/>
      <c r="M12" s="7">
        <v>3</v>
      </c>
      <c r="N12" s="7"/>
      <c r="O12" s="7">
        <v>3</v>
      </c>
      <c r="P12" s="7"/>
      <c r="Q12" s="7"/>
      <c r="R12" s="157">
        <f t="shared" si="0"/>
        <v>15</v>
      </c>
      <c r="S12" s="186">
        <v>180</v>
      </c>
      <c r="T12" s="15">
        <f t="shared" ref="T12:T14" si="1">+R12*S12</f>
        <v>2700</v>
      </c>
    </row>
    <row r="13" spans="2:23" s="183" customFormat="1" ht="11.25" x14ac:dyDescent="0.2">
      <c r="B13" s="14">
        <v>3</v>
      </c>
      <c r="C13" s="7" t="s">
        <v>50</v>
      </c>
      <c r="D13" s="184" t="s">
        <v>610</v>
      </c>
      <c r="E13" s="185" t="s">
        <v>168</v>
      </c>
      <c r="F13" s="7"/>
      <c r="G13" s="7">
        <v>2</v>
      </c>
      <c r="H13" s="7"/>
      <c r="I13" s="7">
        <v>2</v>
      </c>
      <c r="J13" s="7"/>
      <c r="K13" s="7">
        <v>2</v>
      </c>
      <c r="L13" s="7"/>
      <c r="M13" s="7">
        <v>2</v>
      </c>
      <c r="N13" s="7"/>
      <c r="O13" s="7">
        <v>2</v>
      </c>
      <c r="P13" s="7"/>
      <c r="Q13" s="7"/>
      <c r="R13" s="157">
        <f t="shared" si="0"/>
        <v>10</v>
      </c>
      <c r="S13" s="186">
        <v>120</v>
      </c>
      <c r="T13" s="15">
        <f t="shared" si="1"/>
        <v>1200</v>
      </c>
    </row>
    <row r="14" spans="2:23" x14ac:dyDescent="0.2">
      <c r="B14" s="14">
        <v>4</v>
      </c>
      <c r="C14" s="7" t="s">
        <v>50</v>
      </c>
      <c r="D14" s="184" t="s">
        <v>611</v>
      </c>
      <c r="E14" s="185" t="s">
        <v>168</v>
      </c>
      <c r="F14" s="7"/>
      <c r="G14" s="7">
        <v>2</v>
      </c>
      <c r="H14" s="7"/>
      <c r="I14" s="7">
        <v>2</v>
      </c>
      <c r="J14" s="7"/>
      <c r="K14" s="7">
        <v>2</v>
      </c>
      <c r="L14" s="7"/>
      <c r="M14" s="7">
        <v>2</v>
      </c>
      <c r="N14" s="7"/>
      <c r="O14" s="7">
        <v>2</v>
      </c>
      <c r="P14" s="7"/>
      <c r="Q14" s="7"/>
      <c r="R14" s="157">
        <f t="shared" si="0"/>
        <v>10</v>
      </c>
      <c r="S14" s="186">
        <v>150</v>
      </c>
      <c r="T14" s="15">
        <f t="shared" si="1"/>
        <v>1500</v>
      </c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7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7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1224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8874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9"/>
  <sheetViews>
    <sheetView topLeftCell="E3" zoomScale="85" zoomScaleNormal="8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10.28515625" customWidth="1"/>
    <col min="6" max="6" width="6.85546875" style="4" bestFit="1" customWidth="1"/>
    <col min="7" max="7" width="7.7109375" bestFit="1" customWidth="1"/>
    <col min="8" max="8" width="6.42578125" style="4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133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8" t="s">
        <v>134</v>
      </c>
      <c r="E11" s="30" t="s">
        <v>135</v>
      </c>
      <c r="F11" s="66">
        <f>1+1</f>
        <v>2</v>
      </c>
      <c r="G11" s="66"/>
      <c r="H11" s="66"/>
      <c r="I11" s="30"/>
      <c r="J11" s="53"/>
      <c r="K11" s="53"/>
      <c r="L11" s="69"/>
      <c r="M11" s="69"/>
      <c r="N11" s="69"/>
      <c r="O11" s="53"/>
      <c r="P11" s="53"/>
      <c r="Q11" s="54"/>
      <c r="R11" s="53">
        <f>SUM(F11:Q11)</f>
        <v>2</v>
      </c>
      <c r="S11" s="55">
        <f>+T11/2</f>
        <v>2151.7950000000001</v>
      </c>
      <c r="T11" s="56">
        <v>4303.59</v>
      </c>
    </row>
    <row r="12" spans="2:25" s="45" customFormat="1" x14ac:dyDescent="0.2">
      <c r="B12" s="30">
        <v>2</v>
      </c>
      <c r="C12" s="30" t="s">
        <v>50</v>
      </c>
      <c r="D12" s="38" t="s">
        <v>141</v>
      </c>
      <c r="E12" s="30" t="s">
        <v>138</v>
      </c>
      <c r="F12" s="66"/>
      <c r="G12" s="66">
        <v>6</v>
      </c>
      <c r="H12" s="66">
        <v>3</v>
      </c>
      <c r="I12" s="30">
        <v>7</v>
      </c>
      <c r="J12" s="30">
        <v>9</v>
      </c>
      <c r="K12" s="30">
        <v>4</v>
      </c>
      <c r="L12" s="66">
        <v>5</v>
      </c>
      <c r="M12" s="66">
        <v>15</v>
      </c>
      <c r="N12" s="66">
        <v>15</v>
      </c>
      <c r="O12" s="30"/>
      <c r="P12" s="30">
        <v>10</v>
      </c>
      <c r="Q12" s="57">
        <v>15</v>
      </c>
      <c r="R12" s="30">
        <f>+SUM(F12:Q12)</f>
        <v>89</v>
      </c>
      <c r="S12" s="58">
        <f>+T12/R12</f>
        <v>1029.9740449438202</v>
      </c>
      <c r="T12" s="59">
        <f>2983.01+1580+2370.69+464+564+89+148+511+158+129+1718+284+58+209+275+504+2916+141+84+435+500.01+497+248.99+259+1845+1800+225.01+1559+812+276+234.32+238+500.01+497+248.99+259+1913+11600+1900+1960.01+404+1800.03+390+736+138+400+404+325+909+87+324+523+149+307+496+243+388.6+1369.99+1250+182+997+455+1299+1426.8+805+602.04+234.99+1067.2+700+262+30000</f>
        <v>91667.69</v>
      </c>
    </row>
    <row r="13" spans="2:25" s="45" customFormat="1" x14ac:dyDescent="0.2">
      <c r="B13" s="30">
        <v>3</v>
      </c>
      <c r="C13" s="30" t="s">
        <v>50</v>
      </c>
      <c r="D13" s="38" t="s">
        <v>156</v>
      </c>
      <c r="E13" s="30" t="s">
        <v>51</v>
      </c>
      <c r="F13" s="66"/>
      <c r="G13" s="66">
        <v>19</v>
      </c>
      <c r="H13" s="66"/>
      <c r="I13" s="30"/>
      <c r="J13" s="30">
        <v>3</v>
      </c>
      <c r="K13" s="30">
        <v>25</v>
      </c>
      <c r="L13" s="66"/>
      <c r="M13" s="66"/>
      <c r="N13" s="66"/>
      <c r="O13" s="30"/>
      <c r="P13" s="30"/>
      <c r="Q13" s="57"/>
      <c r="R13" s="30">
        <f>+SUM(F13:Q13)</f>
        <v>47</v>
      </c>
      <c r="S13" s="58">
        <v>147</v>
      </c>
      <c r="T13" s="59">
        <f>+S13*R13</f>
        <v>6909</v>
      </c>
    </row>
    <row r="14" spans="2:25" s="45" customFormat="1" x14ac:dyDescent="0.2">
      <c r="B14" s="30">
        <v>4</v>
      </c>
      <c r="C14" s="30" t="s">
        <v>50</v>
      </c>
      <c r="D14" s="38" t="s">
        <v>158</v>
      </c>
      <c r="E14" s="30" t="s">
        <v>51</v>
      </c>
      <c r="F14" s="66"/>
      <c r="G14" s="66">
        <v>2</v>
      </c>
      <c r="H14" s="66"/>
      <c r="I14" s="30"/>
      <c r="J14" s="30"/>
      <c r="K14" s="30">
        <v>1</v>
      </c>
      <c r="L14" s="66">
        <v>2</v>
      </c>
      <c r="M14" s="66"/>
      <c r="N14" s="66"/>
      <c r="O14" s="30"/>
      <c r="P14" s="30"/>
      <c r="Q14" s="57"/>
      <c r="R14" s="30">
        <f>+SUM(F14:Q14)</f>
        <v>5</v>
      </c>
      <c r="S14" s="58">
        <v>139.69999999999999</v>
      </c>
      <c r="T14" s="59">
        <f>+R14*S14</f>
        <v>698.5</v>
      </c>
    </row>
    <row r="15" spans="2:25" s="45" customFormat="1" x14ac:dyDescent="0.2">
      <c r="B15" s="30">
        <v>5</v>
      </c>
      <c r="C15" s="30" t="s">
        <v>50</v>
      </c>
      <c r="D15" s="38" t="s">
        <v>159</v>
      </c>
      <c r="E15" s="30" t="s">
        <v>51</v>
      </c>
      <c r="F15" s="66"/>
      <c r="G15" s="66">
        <v>1</v>
      </c>
      <c r="H15" s="66"/>
      <c r="I15" s="30"/>
      <c r="J15" s="30"/>
      <c r="K15" s="30">
        <v>3</v>
      </c>
      <c r="L15" s="66"/>
      <c r="M15" s="66"/>
      <c r="N15" s="66"/>
      <c r="O15" s="30"/>
      <c r="P15" s="30"/>
      <c r="Q15" s="57"/>
      <c r="R15" s="30">
        <f t="shared" ref="R15:R31" si="0">+SUM(F15:Q15)</f>
        <v>4</v>
      </c>
      <c r="S15" s="58">
        <v>245.7</v>
      </c>
      <c r="T15" s="59">
        <f t="shared" ref="T15" si="1">+S15*R15</f>
        <v>982.8</v>
      </c>
    </row>
    <row r="16" spans="2:25" s="45" customFormat="1" x14ac:dyDescent="0.2">
      <c r="B16" s="30">
        <v>6</v>
      </c>
      <c r="C16" s="30" t="s">
        <v>50</v>
      </c>
      <c r="D16" s="38" t="s">
        <v>166</v>
      </c>
      <c r="E16" s="30" t="s">
        <v>165</v>
      </c>
      <c r="F16" s="66"/>
      <c r="G16" s="66">
        <v>1</v>
      </c>
      <c r="H16" s="66"/>
      <c r="I16" s="30"/>
      <c r="J16" s="30">
        <v>1</v>
      </c>
      <c r="K16" s="30">
        <v>1</v>
      </c>
      <c r="L16" s="66"/>
      <c r="M16" s="66"/>
      <c r="N16" s="66"/>
      <c r="O16" s="30"/>
      <c r="P16" s="30"/>
      <c r="Q16" s="57"/>
      <c r="R16" s="30">
        <f t="shared" si="0"/>
        <v>3</v>
      </c>
      <c r="S16" s="58">
        <f>+T16/3</f>
        <v>3378.2666666666664</v>
      </c>
      <c r="T16" s="59">
        <f>1596.8+7540+998</f>
        <v>10134.799999999999</v>
      </c>
    </row>
    <row r="17" spans="2:20" s="45" customFormat="1" x14ac:dyDescent="0.2">
      <c r="B17" s="30">
        <v>7</v>
      </c>
      <c r="C17" s="30" t="s">
        <v>50</v>
      </c>
      <c r="D17" s="38" t="s">
        <v>167</v>
      </c>
      <c r="E17" s="30" t="s">
        <v>168</v>
      </c>
      <c r="F17" s="66"/>
      <c r="G17" s="66">
        <v>30</v>
      </c>
      <c r="H17" s="66"/>
      <c r="I17" s="30"/>
      <c r="J17" s="30">
        <v>25</v>
      </c>
      <c r="K17" s="30">
        <v>2</v>
      </c>
      <c r="L17" s="66"/>
      <c r="M17" s="66">
        <v>25</v>
      </c>
      <c r="N17" s="66"/>
      <c r="O17" s="30"/>
      <c r="P17" s="30">
        <v>25</v>
      </c>
      <c r="Q17" s="57"/>
      <c r="R17" s="30">
        <f t="shared" si="0"/>
        <v>107</v>
      </c>
      <c r="S17" s="58">
        <v>253</v>
      </c>
      <c r="T17" s="59">
        <f t="shared" ref="T17" si="2">+R17*S17</f>
        <v>27071</v>
      </c>
    </row>
    <row r="18" spans="2:20" s="45" customFormat="1" x14ac:dyDescent="0.2">
      <c r="B18" s="30">
        <v>8</v>
      </c>
      <c r="C18" s="30" t="s">
        <v>50</v>
      </c>
      <c r="D18" s="38" t="s">
        <v>169</v>
      </c>
      <c r="E18" s="30" t="s">
        <v>51</v>
      </c>
      <c r="F18" s="66"/>
      <c r="G18" s="66">
        <v>1</v>
      </c>
      <c r="H18" s="66"/>
      <c r="I18" s="30"/>
      <c r="J18" s="30"/>
      <c r="K18" s="30">
        <v>6</v>
      </c>
      <c r="L18" s="66"/>
      <c r="M18" s="66"/>
      <c r="N18" s="66">
        <v>2</v>
      </c>
      <c r="O18" s="30"/>
      <c r="P18" s="30"/>
      <c r="Q18" s="57"/>
      <c r="R18" s="30">
        <f t="shared" si="0"/>
        <v>9</v>
      </c>
      <c r="S18" s="58">
        <v>171.56</v>
      </c>
      <c r="T18" s="59">
        <f t="shared" ref="T18:T19" si="3">+S18*R18</f>
        <v>1544.04</v>
      </c>
    </row>
    <row r="19" spans="2:20" s="45" customFormat="1" x14ac:dyDescent="0.2">
      <c r="B19" s="30">
        <v>9</v>
      </c>
      <c r="C19" s="30" t="s">
        <v>50</v>
      </c>
      <c r="D19" s="38" t="s">
        <v>188</v>
      </c>
      <c r="E19" s="30" t="s">
        <v>51</v>
      </c>
      <c r="F19" s="66"/>
      <c r="G19" s="66">
        <v>5</v>
      </c>
      <c r="H19" s="66">
        <v>5</v>
      </c>
      <c r="I19" s="30"/>
      <c r="J19" s="30"/>
      <c r="K19" s="30">
        <v>5</v>
      </c>
      <c r="L19" s="66"/>
      <c r="M19" s="66"/>
      <c r="N19" s="66"/>
      <c r="O19" s="30"/>
      <c r="P19" s="30"/>
      <c r="Q19" s="57"/>
      <c r="R19" s="30">
        <f t="shared" si="0"/>
        <v>15</v>
      </c>
      <c r="S19" s="58">
        <v>227</v>
      </c>
      <c r="T19" s="59">
        <f t="shared" si="3"/>
        <v>3405</v>
      </c>
    </row>
    <row r="20" spans="2:20" s="45" customFormat="1" x14ac:dyDescent="0.2">
      <c r="B20" s="30">
        <v>10</v>
      </c>
      <c r="C20" s="30" t="s">
        <v>50</v>
      </c>
      <c r="D20" s="38" t="s">
        <v>185</v>
      </c>
      <c r="E20" s="30" t="s">
        <v>51</v>
      </c>
      <c r="F20" s="66"/>
      <c r="G20" s="66"/>
      <c r="H20" s="66">
        <v>5</v>
      </c>
      <c r="I20" s="30"/>
      <c r="J20" s="30"/>
      <c r="K20" s="30"/>
      <c r="L20" s="66"/>
      <c r="M20" s="66"/>
      <c r="N20" s="66"/>
      <c r="O20" s="30"/>
      <c r="P20" s="30"/>
      <c r="Q20" s="57"/>
      <c r="R20" s="30">
        <f t="shared" si="0"/>
        <v>5</v>
      </c>
      <c r="S20" s="58">
        <v>178</v>
      </c>
      <c r="T20" s="59">
        <f t="shared" ref="T20" si="4">+R20*S20</f>
        <v>890</v>
      </c>
    </row>
    <row r="21" spans="2:20" s="45" customFormat="1" x14ac:dyDescent="0.2">
      <c r="B21" s="30">
        <v>11</v>
      </c>
      <c r="C21" s="30" t="s">
        <v>50</v>
      </c>
      <c r="D21" s="38" t="s">
        <v>186</v>
      </c>
      <c r="E21" s="30" t="s">
        <v>51</v>
      </c>
      <c r="F21" s="66"/>
      <c r="G21" s="66"/>
      <c r="H21" s="66">
        <v>8</v>
      </c>
      <c r="I21" s="30"/>
      <c r="J21" s="30"/>
      <c r="K21" s="30">
        <v>16</v>
      </c>
      <c r="L21" s="66">
        <f>14+25</f>
        <v>39</v>
      </c>
      <c r="M21" s="66"/>
      <c r="N21" s="66">
        <v>20</v>
      </c>
      <c r="O21" s="30"/>
      <c r="P21" s="30"/>
      <c r="Q21" s="57"/>
      <c r="R21" s="30">
        <f t="shared" si="0"/>
        <v>83</v>
      </c>
      <c r="S21" s="58">
        <v>217.5</v>
      </c>
      <c r="T21" s="59">
        <f t="shared" ref="T21:T22" si="5">+S21*R21</f>
        <v>18052.5</v>
      </c>
    </row>
    <row r="22" spans="2:20" s="45" customFormat="1" x14ac:dyDescent="0.2">
      <c r="B22" s="30">
        <v>12</v>
      </c>
      <c r="C22" s="30" t="s">
        <v>50</v>
      </c>
      <c r="D22" s="38" t="s">
        <v>187</v>
      </c>
      <c r="E22" s="30" t="s">
        <v>51</v>
      </c>
      <c r="F22" s="66"/>
      <c r="G22" s="66"/>
      <c r="H22" s="66">
        <v>7</v>
      </c>
      <c r="I22" s="30"/>
      <c r="J22" s="30"/>
      <c r="K22" s="30"/>
      <c r="L22" s="66"/>
      <c r="M22" s="66"/>
      <c r="N22" s="66"/>
      <c r="O22" s="30"/>
      <c r="P22" s="30"/>
      <c r="Q22" s="57"/>
      <c r="R22" s="30">
        <f t="shared" si="0"/>
        <v>7</v>
      </c>
      <c r="S22" s="58">
        <v>265</v>
      </c>
      <c r="T22" s="59">
        <f t="shared" si="5"/>
        <v>1855</v>
      </c>
    </row>
    <row r="23" spans="2:20" s="45" customFormat="1" ht="25.5" x14ac:dyDescent="0.2">
      <c r="B23" s="30">
        <v>13</v>
      </c>
      <c r="C23" s="30" t="s">
        <v>50</v>
      </c>
      <c r="D23" s="39" t="s">
        <v>189</v>
      </c>
      <c r="E23" s="30" t="s">
        <v>51</v>
      </c>
      <c r="F23" s="66"/>
      <c r="G23" s="66"/>
      <c r="H23" s="66">
        <v>3</v>
      </c>
      <c r="I23" s="30"/>
      <c r="J23" s="30"/>
      <c r="K23" s="30">
        <v>10</v>
      </c>
      <c r="L23" s="66"/>
      <c r="M23" s="66"/>
      <c r="N23" s="66"/>
      <c r="O23" s="30"/>
      <c r="P23" s="30"/>
      <c r="Q23" s="57"/>
      <c r="R23" s="30">
        <f t="shared" si="0"/>
        <v>13</v>
      </c>
      <c r="S23" s="58">
        <v>290</v>
      </c>
      <c r="T23" s="59">
        <f t="shared" ref="T23" si="6">+R23*S23</f>
        <v>3770</v>
      </c>
    </row>
    <row r="24" spans="2:20" s="45" customFormat="1" x14ac:dyDescent="0.2">
      <c r="B24" s="30">
        <v>14</v>
      </c>
      <c r="C24" s="30" t="s">
        <v>50</v>
      </c>
      <c r="D24" s="38" t="s">
        <v>297</v>
      </c>
      <c r="E24" s="30" t="s">
        <v>51</v>
      </c>
      <c r="F24" s="66"/>
      <c r="G24" s="66"/>
      <c r="H24" s="66">
        <v>6</v>
      </c>
      <c r="I24" s="30"/>
      <c r="J24" s="30"/>
      <c r="K24" s="30">
        <v>10</v>
      </c>
      <c r="L24" s="66"/>
      <c r="M24" s="66"/>
      <c r="N24" s="66"/>
      <c r="O24" s="30"/>
      <c r="P24" s="30"/>
      <c r="Q24" s="57"/>
      <c r="R24" s="30">
        <f t="shared" si="0"/>
        <v>16</v>
      </c>
      <c r="S24" s="58">
        <v>166</v>
      </c>
      <c r="T24" s="59">
        <f t="shared" ref="T24:T25" si="7">+S24*R24</f>
        <v>2656</v>
      </c>
    </row>
    <row r="25" spans="2:20" s="45" customFormat="1" x14ac:dyDescent="0.2">
      <c r="B25" s="30">
        <v>15</v>
      </c>
      <c r="C25" s="30" t="s">
        <v>50</v>
      </c>
      <c r="D25" s="38" t="s">
        <v>199</v>
      </c>
      <c r="E25" s="30" t="s">
        <v>164</v>
      </c>
      <c r="F25" s="66"/>
      <c r="G25" s="66"/>
      <c r="H25" s="66">
        <f>20+30</f>
        <v>50</v>
      </c>
      <c r="I25" s="30">
        <f>48+24</f>
        <v>72</v>
      </c>
      <c r="J25" s="30">
        <f>60+11</f>
        <v>71</v>
      </c>
      <c r="K25" s="30"/>
      <c r="L25" s="66">
        <f>80+142</f>
        <v>222</v>
      </c>
      <c r="M25" s="66">
        <v>128</v>
      </c>
      <c r="N25" s="66"/>
      <c r="O25" s="30"/>
      <c r="P25" s="30"/>
      <c r="Q25" s="57"/>
      <c r="R25" s="30">
        <f t="shared" si="0"/>
        <v>543</v>
      </c>
      <c r="S25" s="58">
        <v>27</v>
      </c>
      <c r="T25" s="59">
        <f t="shared" si="7"/>
        <v>14661</v>
      </c>
    </row>
    <row r="26" spans="2:20" s="45" customFormat="1" x14ac:dyDescent="0.2">
      <c r="B26" s="30">
        <v>16</v>
      </c>
      <c r="C26" s="30" t="s">
        <v>50</v>
      </c>
      <c r="D26" s="38" t="s">
        <v>236</v>
      </c>
      <c r="E26" s="30" t="s">
        <v>168</v>
      </c>
      <c r="F26" s="66"/>
      <c r="G26" s="66">
        <v>15</v>
      </c>
      <c r="H26" s="66"/>
      <c r="I26" s="30"/>
      <c r="J26" s="30">
        <v>15</v>
      </c>
      <c r="K26" s="30"/>
      <c r="L26" s="66">
        <v>15</v>
      </c>
      <c r="M26" s="66">
        <v>35</v>
      </c>
      <c r="N26" s="66">
        <v>10</v>
      </c>
      <c r="O26" s="30"/>
      <c r="P26" s="30">
        <v>15</v>
      </c>
      <c r="Q26" s="57"/>
      <c r="R26" s="30">
        <f t="shared" si="0"/>
        <v>105</v>
      </c>
      <c r="S26" s="58">
        <v>28</v>
      </c>
      <c r="T26" s="59">
        <f t="shared" ref="T26" si="8">+R26*S26</f>
        <v>2940</v>
      </c>
    </row>
    <row r="27" spans="2:20" s="45" customFormat="1" x14ac:dyDescent="0.2">
      <c r="B27" s="30">
        <v>17</v>
      </c>
      <c r="C27" s="30" t="s">
        <v>50</v>
      </c>
      <c r="D27" s="38" t="s">
        <v>237</v>
      </c>
      <c r="E27" s="30" t="s">
        <v>51</v>
      </c>
      <c r="F27" s="66"/>
      <c r="G27" s="66"/>
      <c r="H27" s="66"/>
      <c r="I27" s="30"/>
      <c r="J27" s="30"/>
      <c r="K27" s="30">
        <v>1</v>
      </c>
      <c r="L27" s="66">
        <v>4</v>
      </c>
      <c r="M27" s="66"/>
      <c r="N27" s="66"/>
      <c r="O27" s="30"/>
      <c r="P27" s="30"/>
      <c r="Q27" s="57"/>
      <c r="R27" s="30">
        <f t="shared" si="0"/>
        <v>5</v>
      </c>
      <c r="S27" s="58">
        <v>153</v>
      </c>
      <c r="T27" s="59">
        <f t="shared" ref="T27:T28" si="9">+S27*R27</f>
        <v>765</v>
      </c>
    </row>
    <row r="28" spans="2:20" s="45" customFormat="1" x14ac:dyDescent="0.2">
      <c r="B28" s="30">
        <v>18</v>
      </c>
      <c r="C28" s="30" t="s">
        <v>50</v>
      </c>
      <c r="D28" s="38" t="s">
        <v>239</v>
      </c>
      <c r="E28" s="30" t="s">
        <v>85</v>
      </c>
      <c r="F28" s="66"/>
      <c r="G28" s="66"/>
      <c r="H28" s="66"/>
      <c r="I28" s="30"/>
      <c r="J28" s="30"/>
      <c r="K28" s="30"/>
      <c r="L28" s="66">
        <f>7+12</f>
        <v>19</v>
      </c>
      <c r="M28" s="66"/>
      <c r="N28" s="66">
        <v>7</v>
      </c>
      <c r="O28" s="30"/>
      <c r="P28" s="30"/>
      <c r="Q28" s="57"/>
      <c r="R28" s="30">
        <f t="shared" si="0"/>
        <v>26</v>
      </c>
      <c r="S28" s="58">
        <v>295</v>
      </c>
      <c r="T28" s="59">
        <f t="shared" si="9"/>
        <v>7670</v>
      </c>
    </row>
    <row r="29" spans="2:20" s="45" customFormat="1" x14ac:dyDescent="0.2">
      <c r="B29" s="30">
        <v>19</v>
      </c>
      <c r="C29" s="30" t="s">
        <v>50</v>
      </c>
      <c r="D29" s="38" t="s">
        <v>279</v>
      </c>
      <c r="E29" s="30" t="s">
        <v>165</v>
      </c>
      <c r="F29" s="66"/>
      <c r="G29" s="66"/>
      <c r="H29" s="66"/>
      <c r="I29" s="30"/>
      <c r="J29" s="30"/>
      <c r="K29" s="30">
        <v>4</v>
      </c>
      <c r="L29" s="66"/>
      <c r="M29" s="66"/>
      <c r="N29" s="66"/>
      <c r="O29" s="30"/>
      <c r="P29" s="30"/>
      <c r="Q29" s="57"/>
      <c r="R29" s="30">
        <f t="shared" si="0"/>
        <v>4</v>
      </c>
      <c r="S29" s="58">
        <v>99.8</v>
      </c>
      <c r="T29" s="59">
        <f t="shared" ref="T29" si="10">+R29*S29</f>
        <v>399.2</v>
      </c>
    </row>
    <row r="30" spans="2:20" s="45" customFormat="1" x14ac:dyDescent="0.2">
      <c r="B30" s="30">
        <v>20</v>
      </c>
      <c r="C30" s="30" t="s">
        <v>50</v>
      </c>
      <c r="D30" s="38" t="s">
        <v>280</v>
      </c>
      <c r="E30" s="30" t="s">
        <v>51</v>
      </c>
      <c r="F30" s="66"/>
      <c r="G30" s="66">
        <v>100</v>
      </c>
      <c r="H30" s="66"/>
      <c r="I30" s="30"/>
      <c r="J30" s="30">
        <v>102</v>
      </c>
      <c r="K30" s="30"/>
      <c r="L30" s="66"/>
      <c r="M30" s="66">
        <v>100</v>
      </c>
      <c r="N30" s="66"/>
      <c r="O30" s="30"/>
      <c r="P30" s="30">
        <v>100</v>
      </c>
      <c r="Q30" s="57"/>
      <c r="R30" s="30">
        <f t="shared" si="0"/>
        <v>402</v>
      </c>
      <c r="S30" s="58">
        <v>116.55</v>
      </c>
      <c r="T30" s="59">
        <f t="shared" ref="T30:T31" si="11">+S30*R30</f>
        <v>46853.1</v>
      </c>
    </row>
    <row r="31" spans="2:20" s="45" customFormat="1" ht="13.5" thickBot="1" x14ac:dyDescent="0.25">
      <c r="B31" s="30">
        <v>21</v>
      </c>
      <c r="C31" s="30" t="s">
        <v>50</v>
      </c>
      <c r="D31" s="38" t="s">
        <v>298</v>
      </c>
      <c r="E31" s="30" t="s">
        <v>51</v>
      </c>
      <c r="F31" s="66"/>
      <c r="G31" s="66">
        <v>15</v>
      </c>
      <c r="H31" s="66"/>
      <c r="I31" s="30"/>
      <c r="J31" s="30">
        <v>15</v>
      </c>
      <c r="K31" s="30"/>
      <c r="L31" s="66"/>
      <c r="M31" s="66">
        <v>15</v>
      </c>
      <c r="N31" s="66">
        <f>6+8</f>
        <v>14</v>
      </c>
      <c r="O31" s="30"/>
      <c r="P31" s="30">
        <v>15</v>
      </c>
      <c r="Q31" s="57"/>
      <c r="R31" s="30">
        <f t="shared" si="0"/>
        <v>74</v>
      </c>
      <c r="S31" s="58">
        <v>25</v>
      </c>
      <c r="T31" s="59">
        <f t="shared" si="11"/>
        <v>1850</v>
      </c>
    </row>
    <row r="32" spans="2:20" x14ac:dyDescent="0.2">
      <c r="B32" s="7"/>
      <c r="C32" s="7"/>
      <c r="D32" s="192" t="s">
        <v>612</v>
      </c>
      <c r="E32" s="181" t="s">
        <v>613</v>
      </c>
      <c r="F32" s="7"/>
      <c r="G32" s="7"/>
      <c r="H32" s="7">
        <v>5</v>
      </c>
      <c r="I32" s="7"/>
      <c r="J32" s="7"/>
      <c r="K32" s="7">
        <v>5</v>
      </c>
      <c r="L32" s="7"/>
      <c r="M32" s="7"/>
      <c r="N32" s="7">
        <v>5</v>
      </c>
      <c r="O32" s="7"/>
      <c r="P32" s="7"/>
      <c r="Q32" s="7"/>
      <c r="R32" s="7">
        <f t="shared" ref="R32:R38" si="12">SUM(F32:Q32)</f>
        <v>15</v>
      </c>
      <c r="S32" s="190">
        <v>50</v>
      </c>
      <c r="T32" s="15">
        <f>+R32*S32</f>
        <v>750</v>
      </c>
    </row>
    <row r="33" spans="2:20" x14ac:dyDescent="0.2">
      <c r="B33" s="8"/>
      <c r="C33" s="8"/>
      <c r="D33" s="188" t="s">
        <v>614</v>
      </c>
      <c r="E33" s="185" t="s">
        <v>613</v>
      </c>
      <c r="F33" s="7"/>
      <c r="G33" s="7">
        <v>2</v>
      </c>
      <c r="H33" s="7"/>
      <c r="I33" s="7"/>
      <c r="J33" s="7">
        <v>2</v>
      </c>
      <c r="K33" s="7"/>
      <c r="L33" s="7">
        <v>2</v>
      </c>
      <c r="M33" s="7"/>
      <c r="N33" s="7">
        <v>2</v>
      </c>
      <c r="O33" s="7"/>
      <c r="P33" s="7">
        <v>2</v>
      </c>
      <c r="Q33" s="7"/>
      <c r="R33" s="157">
        <f t="shared" si="12"/>
        <v>10</v>
      </c>
      <c r="S33" s="191">
        <v>180</v>
      </c>
      <c r="T33" s="15">
        <f t="shared" ref="T33:T38" si="13">+R33*S33</f>
        <v>1800</v>
      </c>
    </row>
    <row r="34" spans="2:20" x14ac:dyDescent="0.2">
      <c r="B34" s="8"/>
      <c r="C34" s="8"/>
      <c r="D34" s="188" t="s">
        <v>615</v>
      </c>
      <c r="E34" s="185" t="s">
        <v>613</v>
      </c>
      <c r="F34" s="7"/>
      <c r="G34" s="7"/>
      <c r="H34" s="7">
        <v>5</v>
      </c>
      <c r="I34" s="7"/>
      <c r="J34" s="7"/>
      <c r="K34" s="7">
        <v>5</v>
      </c>
      <c r="L34" s="7"/>
      <c r="M34" s="7"/>
      <c r="N34" s="7">
        <v>5</v>
      </c>
      <c r="O34" s="7"/>
      <c r="P34" s="7"/>
      <c r="Q34" s="7">
        <v>5</v>
      </c>
      <c r="R34" s="157">
        <f t="shared" si="12"/>
        <v>20</v>
      </c>
      <c r="S34" s="191">
        <v>60</v>
      </c>
      <c r="T34" s="15">
        <f t="shared" si="13"/>
        <v>1200</v>
      </c>
    </row>
    <row r="35" spans="2:20" x14ac:dyDescent="0.2">
      <c r="B35" s="106"/>
      <c r="C35" s="106"/>
      <c r="D35" s="188" t="s">
        <v>616</v>
      </c>
      <c r="E35" s="185" t="s">
        <v>613</v>
      </c>
      <c r="F35" s="7"/>
      <c r="G35" s="7">
        <v>2</v>
      </c>
      <c r="H35" s="7"/>
      <c r="I35" s="7"/>
      <c r="J35" s="7">
        <v>2</v>
      </c>
      <c r="K35" s="7"/>
      <c r="L35" s="7">
        <v>2</v>
      </c>
      <c r="M35" s="7"/>
      <c r="N35" s="7">
        <v>2</v>
      </c>
      <c r="O35" s="7"/>
      <c r="P35" s="7">
        <v>2</v>
      </c>
      <c r="Q35" s="7"/>
      <c r="R35" s="157">
        <f t="shared" si="12"/>
        <v>10</v>
      </c>
      <c r="S35" s="191">
        <v>150</v>
      </c>
      <c r="T35" s="15">
        <f t="shared" si="13"/>
        <v>1500</v>
      </c>
    </row>
    <row r="36" spans="2:20" x14ac:dyDescent="0.2">
      <c r="B36" s="106"/>
      <c r="C36" s="106"/>
      <c r="D36" s="188" t="s">
        <v>617</v>
      </c>
      <c r="E36" s="185" t="s">
        <v>613</v>
      </c>
      <c r="F36" s="7"/>
      <c r="G36" s="7">
        <v>2</v>
      </c>
      <c r="H36" s="7"/>
      <c r="I36" s="7"/>
      <c r="J36" s="7">
        <v>2</v>
      </c>
      <c r="K36" s="7"/>
      <c r="L36" s="7">
        <v>2</v>
      </c>
      <c r="M36" s="7"/>
      <c r="N36" s="7">
        <v>2</v>
      </c>
      <c r="O36" s="7"/>
      <c r="P36" s="7">
        <v>2</v>
      </c>
      <c r="Q36" s="7"/>
      <c r="R36" s="157">
        <f t="shared" si="12"/>
        <v>10</v>
      </c>
      <c r="S36" s="191">
        <v>60</v>
      </c>
      <c r="T36" s="15">
        <f t="shared" si="13"/>
        <v>600</v>
      </c>
    </row>
    <row r="37" spans="2:20" x14ac:dyDescent="0.2">
      <c r="B37" s="106"/>
      <c r="C37" s="106"/>
      <c r="D37" s="188" t="s">
        <v>618</v>
      </c>
      <c r="E37" s="185" t="s">
        <v>613</v>
      </c>
      <c r="F37" s="7"/>
      <c r="G37" s="7">
        <v>6</v>
      </c>
      <c r="H37" s="7"/>
      <c r="I37" s="7"/>
      <c r="J37" s="7">
        <v>6</v>
      </c>
      <c r="K37" s="7"/>
      <c r="L37" s="7">
        <v>6</v>
      </c>
      <c r="M37" s="7"/>
      <c r="N37" s="7">
        <v>6</v>
      </c>
      <c r="O37" s="7"/>
      <c r="P37" s="7">
        <v>6</v>
      </c>
      <c r="Q37" s="7"/>
      <c r="R37" s="157">
        <f t="shared" si="12"/>
        <v>30</v>
      </c>
      <c r="S37" s="191">
        <v>12</v>
      </c>
      <c r="T37" s="15">
        <f t="shared" si="13"/>
        <v>360</v>
      </c>
    </row>
    <row r="38" spans="2:20" x14ac:dyDescent="0.2">
      <c r="B38" s="106"/>
      <c r="C38" s="106"/>
      <c r="D38" s="188" t="s">
        <v>619</v>
      </c>
      <c r="E38" s="185" t="s">
        <v>613</v>
      </c>
      <c r="F38" s="7"/>
      <c r="G38" s="7">
        <v>3</v>
      </c>
      <c r="H38" s="7"/>
      <c r="I38" s="7"/>
      <c r="J38" s="7">
        <v>3</v>
      </c>
      <c r="K38" s="7"/>
      <c r="L38" s="7">
        <v>3</v>
      </c>
      <c r="M38" s="7"/>
      <c r="N38" s="7">
        <v>3</v>
      </c>
      <c r="O38" s="7"/>
      <c r="P38" s="7">
        <v>3</v>
      </c>
      <c r="Q38" s="7"/>
      <c r="R38" s="157">
        <f t="shared" si="12"/>
        <v>15</v>
      </c>
      <c r="S38" s="191">
        <v>30</v>
      </c>
      <c r="T38" s="15">
        <f t="shared" si="13"/>
        <v>450</v>
      </c>
    </row>
    <row r="39" spans="2:20" x14ac:dyDescent="0.2">
      <c r="D39" s="274" t="s">
        <v>820</v>
      </c>
      <c r="E39" s="202" t="s">
        <v>85</v>
      </c>
      <c r="G39" s="233">
        <v>200</v>
      </c>
      <c r="J39" s="233">
        <v>200</v>
      </c>
      <c r="M39">
        <v>200</v>
      </c>
      <c r="P39" s="233">
        <v>200</v>
      </c>
      <c r="R39">
        <v>800</v>
      </c>
      <c r="S39" s="198">
        <v>7</v>
      </c>
      <c r="T39" s="275">
        <f>R39*S39</f>
        <v>5600</v>
      </c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zoomScale="90" zoomScaleNormal="90" workbookViewId="0">
      <selection activeCell="G20" sqref="G20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620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189" t="s">
        <v>264</v>
      </c>
      <c r="E11" s="181" t="s">
        <v>613</v>
      </c>
      <c r="F11" s="7"/>
      <c r="G11" s="7"/>
      <c r="H11" s="7"/>
      <c r="I11" s="7"/>
      <c r="J11" s="7">
        <v>15</v>
      </c>
      <c r="K11" s="7"/>
      <c r="L11" s="7"/>
      <c r="M11" s="7"/>
      <c r="N11" s="7">
        <v>15</v>
      </c>
      <c r="O11" s="7"/>
      <c r="P11" s="7"/>
      <c r="Q11" s="7"/>
      <c r="R11" s="7">
        <f t="shared" ref="R11:R13" si="0">SUM(F11:Q11)</f>
        <v>30</v>
      </c>
      <c r="S11" s="193">
        <v>40</v>
      </c>
      <c r="T11" s="15">
        <f>+R11*S11</f>
        <v>1200</v>
      </c>
    </row>
    <row r="12" spans="2:21" s="183" customFormat="1" ht="11.25" x14ac:dyDescent="0.2">
      <c r="B12" s="14">
        <v>2</v>
      </c>
      <c r="C12" s="7" t="s">
        <v>50</v>
      </c>
      <c r="D12" s="184" t="s">
        <v>621</v>
      </c>
      <c r="E12" s="185" t="s">
        <v>622</v>
      </c>
      <c r="F12" s="7"/>
      <c r="G12" s="7"/>
      <c r="H12" s="7"/>
      <c r="I12" s="7"/>
      <c r="J12" s="7">
        <v>15</v>
      </c>
      <c r="K12" s="7"/>
      <c r="L12" s="7"/>
      <c r="M12" s="7"/>
      <c r="N12" s="7">
        <v>15</v>
      </c>
      <c r="O12" s="7"/>
      <c r="P12" s="7"/>
      <c r="Q12" s="7"/>
      <c r="R12" s="157">
        <f t="shared" si="0"/>
        <v>30</v>
      </c>
      <c r="S12" s="186">
        <v>50</v>
      </c>
      <c r="T12" s="15">
        <f t="shared" ref="T12:T13" si="1">+R12*S12</f>
        <v>1500</v>
      </c>
    </row>
    <row r="13" spans="2:21" s="183" customFormat="1" ht="11.25" x14ac:dyDescent="0.2">
      <c r="B13" s="14">
        <v>3</v>
      </c>
      <c r="C13" s="7" t="s">
        <v>50</v>
      </c>
      <c r="D13" s="184" t="s">
        <v>623</v>
      </c>
      <c r="E13" s="185" t="s">
        <v>613</v>
      </c>
      <c r="F13" s="7"/>
      <c r="G13" s="7"/>
      <c r="H13" s="7"/>
      <c r="I13" s="7"/>
      <c r="J13" s="7">
        <v>5</v>
      </c>
      <c r="K13" s="7"/>
      <c r="L13" s="7"/>
      <c r="M13" s="7"/>
      <c r="N13" s="7">
        <v>5</v>
      </c>
      <c r="O13" s="7"/>
      <c r="P13" s="7"/>
      <c r="Q13" s="7"/>
      <c r="R13" s="157">
        <f t="shared" si="0"/>
        <v>10</v>
      </c>
      <c r="S13" s="186">
        <v>180</v>
      </c>
      <c r="T13" s="15">
        <f t="shared" si="1"/>
        <v>1800</v>
      </c>
    </row>
    <row r="14" spans="2:21" x14ac:dyDescent="0.2">
      <c r="B14" s="14"/>
      <c r="C14" s="7"/>
      <c r="D14" s="184"/>
      <c r="E14" s="18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7"/>
      <c r="S14" s="191"/>
      <c r="T14" s="15"/>
    </row>
    <row r="15" spans="2:21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91"/>
      <c r="T15" s="15"/>
    </row>
    <row r="16" spans="2:21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91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91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720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5220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topLeftCell="D6" zoomScale="90" zoomScaleNormal="90" workbookViewId="0">
      <selection activeCell="O24" sqref="O2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624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189" t="s">
        <v>625</v>
      </c>
      <c r="E11" s="181" t="s">
        <v>626</v>
      </c>
      <c r="F11" s="7"/>
      <c r="G11" s="7"/>
      <c r="H11" s="7">
        <v>5</v>
      </c>
      <c r="I11" s="7"/>
      <c r="J11" s="7"/>
      <c r="K11" s="7"/>
      <c r="L11" s="7"/>
      <c r="M11" s="7"/>
      <c r="N11" s="7"/>
      <c r="O11" s="7"/>
      <c r="P11" s="7"/>
      <c r="Q11" s="7"/>
      <c r="R11" s="7">
        <f t="shared" ref="R11:R12" si="0">SUM(F11:Q11)</f>
        <v>5</v>
      </c>
      <c r="S11" s="193">
        <v>12000</v>
      </c>
      <c r="T11" s="15">
        <f>+R11*S11</f>
        <v>60000</v>
      </c>
    </row>
    <row r="12" spans="2:21" s="183" customFormat="1" ht="11.25" x14ac:dyDescent="0.2">
      <c r="B12" s="14">
        <v>2</v>
      </c>
      <c r="C12" s="7" t="s">
        <v>50</v>
      </c>
      <c r="D12" s="184" t="s">
        <v>627</v>
      </c>
      <c r="E12" s="185" t="s">
        <v>626</v>
      </c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157">
        <f t="shared" si="0"/>
        <v>1</v>
      </c>
      <c r="S12" s="186">
        <v>75000</v>
      </c>
      <c r="T12" s="15">
        <f t="shared" ref="T12" si="1">+R12*S12</f>
        <v>75000</v>
      </c>
    </row>
    <row r="13" spans="2:21" s="183" customFormat="1" ht="11.25" x14ac:dyDescent="0.2">
      <c r="B13" s="14"/>
      <c r="C13" s="7"/>
      <c r="D13" s="184"/>
      <c r="E13" s="185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7"/>
      <c r="S13" s="186"/>
      <c r="T13" s="15"/>
    </row>
    <row r="14" spans="2:21" x14ac:dyDescent="0.2">
      <c r="B14" s="14"/>
      <c r="C14" s="7"/>
      <c r="D14" s="184"/>
      <c r="E14" s="18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7"/>
      <c r="S14" s="191"/>
      <c r="T14" s="15"/>
    </row>
    <row r="15" spans="2:21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91"/>
      <c r="T15" s="15"/>
    </row>
    <row r="16" spans="2:21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91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91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21600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156600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1"/>
  <sheetViews>
    <sheetView topLeftCell="E7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10.28515625" customWidth="1"/>
    <col min="6" max="6" width="6.85546875" style="4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160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8" t="s">
        <v>161</v>
      </c>
      <c r="E11" s="30" t="s">
        <v>162</v>
      </c>
      <c r="F11" s="66"/>
      <c r="G11" s="66">
        <v>2</v>
      </c>
      <c r="H11" s="77"/>
      <c r="I11" s="30"/>
      <c r="J11" s="53">
        <v>5</v>
      </c>
      <c r="K11" s="53">
        <v>1</v>
      </c>
      <c r="L11" s="69">
        <v>10</v>
      </c>
      <c r="M11" s="69"/>
      <c r="N11" s="69">
        <v>10</v>
      </c>
      <c r="O11" s="53"/>
      <c r="P11" s="53"/>
      <c r="Q11" s="54"/>
      <c r="R11" s="53">
        <f>SUM(F11:Q11)</f>
        <v>28</v>
      </c>
      <c r="S11" s="55">
        <v>9.68</v>
      </c>
      <c r="T11" s="56">
        <f>+R11*S11</f>
        <v>271.03999999999996</v>
      </c>
    </row>
    <row r="12" spans="2:25" s="45" customFormat="1" x14ac:dyDescent="0.2">
      <c r="B12" s="30">
        <v>2</v>
      </c>
      <c r="C12" s="30" t="s">
        <v>50</v>
      </c>
      <c r="D12" s="38" t="s">
        <v>170</v>
      </c>
      <c r="E12" s="30" t="s">
        <v>51</v>
      </c>
      <c r="F12" s="66"/>
      <c r="G12" s="66">
        <v>1</v>
      </c>
      <c r="H12" s="77"/>
      <c r="I12" s="30"/>
      <c r="J12" s="30"/>
      <c r="K12" s="30"/>
      <c r="L12" s="66"/>
      <c r="M12" s="66"/>
      <c r="N12" s="66"/>
      <c r="O12" s="30"/>
      <c r="P12" s="30"/>
      <c r="Q12" s="57"/>
      <c r="R12" s="30">
        <f>+SUM(F12:Q12)</f>
        <v>1</v>
      </c>
      <c r="S12" s="58">
        <v>97.45</v>
      </c>
      <c r="T12" s="59">
        <f>+R12*S12</f>
        <v>97.45</v>
      </c>
    </row>
    <row r="13" spans="2:25" s="45" customFormat="1" x14ac:dyDescent="0.2">
      <c r="B13" s="30">
        <v>3</v>
      </c>
      <c r="C13" s="30" t="s">
        <v>50</v>
      </c>
      <c r="D13" s="38" t="s">
        <v>171</v>
      </c>
      <c r="E13" s="30" t="s">
        <v>165</v>
      </c>
      <c r="F13" s="66"/>
      <c r="G13" s="66">
        <v>1</v>
      </c>
      <c r="H13" s="77"/>
      <c r="I13" s="30"/>
      <c r="J13" s="30"/>
      <c r="K13" s="30"/>
      <c r="L13" s="66">
        <v>14</v>
      </c>
      <c r="M13" s="66"/>
      <c r="N13" s="66"/>
      <c r="O13" s="30"/>
      <c r="P13" s="30"/>
      <c r="Q13" s="57"/>
      <c r="R13" s="30">
        <f>+SUM(F13:Q13)</f>
        <v>15</v>
      </c>
      <c r="S13" s="58">
        <v>67.63</v>
      </c>
      <c r="T13" s="59">
        <f>+S13*R13</f>
        <v>1014.4499999999999</v>
      </c>
    </row>
    <row r="14" spans="2:25" s="45" customFormat="1" x14ac:dyDescent="0.2">
      <c r="B14" s="30">
        <v>4</v>
      </c>
      <c r="C14" s="30" t="s">
        <v>50</v>
      </c>
      <c r="D14" s="38" t="s">
        <v>172</v>
      </c>
      <c r="E14" s="30" t="s">
        <v>165</v>
      </c>
      <c r="F14" s="66"/>
      <c r="G14" s="66">
        <v>1</v>
      </c>
      <c r="H14" s="77"/>
      <c r="I14" s="30"/>
      <c r="J14" s="30">
        <v>6</v>
      </c>
      <c r="K14" s="30"/>
      <c r="L14" s="66">
        <v>1</v>
      </c>
      <c r="M14" s="66"/>
      <c r="N14" s="66"/>
      <c r="O14" s="30"/>
      <c r="P14" s="30"/>
      <c r="Q14" s="57"/>
      <c r="R14" s="30">
        <f>+SUM(F14:Q14)</f>
        <v>8</v>
      </c>
      <c r="S14" s="58">
        <v>71.5</v>
      </c>
      <c r="T14" s="59">
        <f>+R14*S14</f>
        <v>572</v>
      </c>
    </row>
    <row r="15" spans="2:25" s="45" customFormat="1" x14ac:dyDescent="0.2">
      <c r="B15" s="30"/>
      <c r="C15" s="30"/>
      <c r="D15" s="195" t="s">
        <v>628</v>
      </c>
      <c r="E15" s="181" t="s">
        <v>613</v>
      </c>
      <c r="F15" s="7"/>
      <c r="G15" s="7"/>
      <c r="H15" s="7"/>
      <c r="I15" s="7"/>
      <c r="J15" s="7">
        <v>1</v>
      </c>
      <c r="K15" s="7"/>
      <c r="L15" s="7"/>
      <c r="M15" s="7"/>
      <c r="N15" s="7"/>
      <c r="O15" s="7"/>
      <c r="P15" s="7"/>
      <c r="Q15" s="7"/>
      <c r="R15" s="7">
        <f t="shared" ref="R15:R17" si="0">SUM(F15:Q15)</f>
        <v>1</v>
      </c>
      <c r="S15" s="193">
        <v>2500</v>
      </c>
      <c r="T15" s="15">
        <f>+R15*S15</f>
        <v>2500</v>
      </c>
    </row>
    <row r="16" spans="2:25" s="45" customFormat="1" x14ac:dyDescent="0.2">
      <c r="B16" s="30"/>
      <c r="C16" s="30"/>
      <c r="D16" s="188" t="s">
        <v>629</v>
      </c>
      <c r="E16" s="185" t="s">
        <v>164</v>
      </c>
      <c r="F16" s="7"/>
      <c r="G16" s="7"/>
      <c r="H16" s="7"/>
      <c r="I16" s="7"/>
      <c r="J16" s="7">
        <v>1</v>
      </c>
      <c r="K16" s="7"/>
      <c r="L16" s="7"/>
      <c r="M16" s="7"/>
      <c r="N16" s="7"/>
      <c r="O16" s="7"/>
      <c r="P16" s="7"/>
      <c r="Q16" s="7"/>
      <c r="R16" s="157">
        <f t="shared" si="0"/>
        <v>1</v>
      </c>
      <c r="S16" s="186">
        <v>800</v>
      </c>
      <c r="T16" s="15">
        <f t="shared" ref="T16:T17" si="1">+R16*S16</f>
        <v>800</v>
      </c>
    </row>
    <row r="17" spans="2:20" s="45" customFormat="1" x14ac:dyDescent="0.2">
      <c r="B17" s="30"/>
      <c r="C17" s="30"/>
      <c r="D17" s="188" t="s">
        <v>630</v>
      </c>
      <c r="E17" s="185" t="s">
        <v>613</v>
      </c>
      <c r="F17" s="7"/>
      <c r="G17" s="7"/>
      <c r="H17" s="7"/>
      <c r="I17" s="7"/>
      <c r="J17" s="7">
        <v>1</v>
      </c>
      <c r="K17" s="7"/>
      <c r="L17" s="7"/>
      <c r="M17" s="7"/>
      <c r="N17" s="7"/>
      <c r="O17" s="7"/>
      <c r="P17" s="7"/>
      <c r="Q17" s="7"/>
      <c r="R17" s="157">
        <f t="shared" si="0"/>
        <v>1</v>
      </c>
      <c r="S17" s="186">
        <v>2000</v>
      </c>
      <c r="T17" s="15">
        <f t="shared" si="1"/>
        <v>2000</v>
      </c>
    </row>
    <row r="18" spans="2:20" s="45" customFormat="1" x14ac:dyDescent="0.2">
      <c r="B18" s="30"/>
      <c r="C18" s="30"/>
      <c r="D18" s="196"/>
      <c r="E18" s="30"/>
      <c r="F18" s="66"/>
      <c r="G18" s="66"/>
      <c r="H18" s="77"/>
      <c r="I18" s="30"/>
      <c r="J18" s="30"/>
      <c r="K18" s="30"/>
      <c r="L18" s="66"/>
      <c r="M18" s="66"/>
      <c r="N18" s="66"/>
      <c r="O18" s="30"/>
      <c r="P18" s="30"/>
      <c r="Q18" s="57"/>
      <c r="R18" s="30">
        <f t="shared" ref="R18:R22" si="2">+SUM(F18:Q18)</f>
        <v>0</v>
      </c>
      <c r="S18" s="58"/>
      <c r="T18" s="59">
        <f t="shared" ref="T18:T19" si="3">+S18*R18</f>
        <v>0</v>
      </c>
    </row>
    <row r="19" spans="2:20" s="45" customFormat="1" x14ac:dyDescent="0.2">
      <c r="B19" s="30"/>
      <c r="C19" s="30"/>
      <c r="D19" s="38"/>
      <c r="E19" s="30"/>
      <c r="F19" s="66"/>
      <c r="G19" s="66"/>
      <c r="H19" s="77"/>
      <c r="I19" s="30"/>
      <c r="J19" s="30"/>
      <c r="K19" s="30"/>
      <c r="L19" s="66"/>
      <c r="M19" s="66"/>
      <c r="N19" s="66"/>
      <c r="O19" s="30"/>
      <c r="P19" s="30"/>
      <c r="Q19" s="57"/>
      <c r="R19" s="30">
        <f t="shared" si="2"/>
        <v>0</v>
      </c>
      <c r="S19" s="58"/>
      <c r="T19" s="59">
        <f t="shared" si="3"/>
        <v>0</v>
      </c>
    </row>
    <row r="20" spans="2:20" s="45" customFormat="1" x14ac:dyDescent="0.2">
      <c r="B20" s="30"/>
      <c r="C20" s="30"/>
      <c r="D20" s="38"/>
      <c r="E20" s="30"/>
      <c r="F20" s="66"/>
      <c r="G20" s="66"/>
      <c r="H20" s="77"/>
      <c r="I20" s="30"/>
      <c r="J20" s="30"/>
      <c r="K20" s="30"/>
      <c r="L20" s="66"/>
      <c r="M20" s="66"/>
      <c r="N20" s="66"/>
      <c r="O20" s="30"/>
      <c r="P20" s="30"/>
      <c r="Q20" s="57"/>
      <c r="R20" s="30">
        <f t="shared" si="2"/>
        <v>0</v>
      </c>
      <c r="S20" s="58"/>
      <c r="T20" s="59">
        <f t="shared" ref="T20" si="4">+R20*S20</f>
        <v>0</v>
      </c>
    </row>
    <row r="21" spans="2:20" x14ac:dyDescent="0.2">
      <c r="B21" s="30"/>
      <c r="C21" s="30"/>
      <c r="D21" s="35"/>
      <c r="E21" s="30"/>
      <c r="F21" s="73"/>
      <c r="G21" s="66"/>
      <c r="H21" s="73"/>
      <c r="I21" s="7"/>
      <c r="J21" s="7"/>
      <c r="K21" s="7"/>
      <c r="L21" s="73"/>
      <c r="M21" s="73"/>
      <c r="N21" s="73"/>
      <c r="O21" s="7"/>
      <c r="P21" s="7"/>
      <c r="Q21" s="8"/>
      <c r="R21" s="30">
        <f t="shared" si="2"/>
        <v>0</v>
      </c>
      <c r="S21" s="9"/>
      <c r="T21" s="59">
        <f t="shared" ref="T21" si="5">+S21*R21</f>
        <v>0</v>
      </c>
    </row>
    <row r="22" spans="2:20" x14ac:dyDescent="0.2">
      <c r="B22" s="30"/>
      <c r="C22" s="30"/>
      <c r="D22" s="35"/>
      <c r="E22" s="30"/>
      <c r="F22" s="73"/>
      <c r="G22" s="66"/>
      <c r="H22" s="73"/>
      <c r="I22" s="7"/>
      <c r="J22" s="7"/>
      <c r="K22" s="8"/>
      <c r="L22" s="73"/>
      <c r="M22" s="74"/>
      <c r="N22" s="73"/>
      <c r="O22" s="8"/>
      <c r="P22" s="8"/>
      <c r="Q22" s="8"/>
      <c r="R22" s="30">
        <f t="shared" si="2"/>
        <v>0</v>
      </c>
      <c r="S22" s="9"/>
      <c r="T22" s="59">
        <f t="shared" ref="T22" si="6">+R22*S22</f>
        <v>0</v>
      </c>
    </row>
    <row r="23" spans="2:20" x14ac:dyDescent="0.2">
      <c r="B23" s="30"/>
      <c r="C23" s="30"/>
      <c r="D23" s="31"/>
      <c r="E23" s="30"/>
      <c r="F23" s="73"/>
      <c r="G23" s="66"/>
      <c r="H23" s="73"/>
      <c r="I23" s="7"/>
      <c r="J23" s="7"/>
      <c r="K23" s="8"/>
      <c r="L23" s="73"/>
      <c r="M23" s="74"/>
      <c r="N23" s="73"/>
      <c r="O23" s="8"/>
      <c r="P23" s="8"/>
      <c r="Q23" s="8"/>
      <c r="R23" s="7"/>
      <c r="S23" s="9"/>
      <c r="T23" s="34"/>
    </row>
    <row r="24" spans="2:20" ht="13.5" thickBot="1" x14ac:dyDescent="0.25">
      <c r="B24" s="16"/>
      <c r="C24" s="17"/>
      <c r="D24" s="17"/>
      <c r="E24" s="17"/>
      <c r="F24" s="75"/>
      <c r="G24" s="76"/>
      <c r="H24" s="75"/>
      <c r="I24" s="17"/>
      <c r="J24" s="17"/>
      <c r="K24" s="18"/>
      <c r="L24" s="75"/>
      <c r="M24" s="76"/>
      <c r="N24" s="75"/>
      <c r="O24" s="18"/>
      <c r="P24" s="18"/>
      <c r="Q24" s="18"/>
      <c r="R24" s="17"/>
      <c r="S24" s="19"/>
      <c r="T24" s="20"/>
    </row>
    <row r="25" spans="2:20" x14ac:dyDescent="0.2">
      <c r="B25" s="13"/>
      <c r="C25" s="13"/>
      <c r="D25" s="1"/>
      <c r="E25" s="13"/>
      <c r="F25" s="13"/>
      <c r="G25" s="1"/>
      <c r="H25" s="1"/>
      <c r="I25" s="13"/>
      <c r="J25" s="1"/>
      <c r="K25" s="1"/>
      <c r="L25" s="1"/>
      <c r="M25" s="1"/>
      <c r="N25" s="1"/>
      <c r="O25" s="1"/>
      <c r="P25" s="1"/>
      <c r="Q25" s="1"/>
      <c r="R25" s="1"/>
      <c r="S25" s="11" t="s">
        <v>18</v>
      </c>
      <c r="T25" s="26">
        <f>+SUM(T11:T24)*0.16</f>
        <v>1160.7903999999999</v>
      </c>
    </row>
    <row r="26" spans="2:20" x14ac:dyDescent="0.2">
      <c r="B26" s="13"/>
      <c r="C26" s="13"/>
      <c r="D26" s="1"/>
      <c r="E26" s="13"/>
      <c r="F26" s="13"/>
      <c r="G26" s="1"/>
      <c r="H26" s="1"/>
      <c r="I26" s="13"/>
      <c r="J26" s="1"/>
      <c r="K26" s="1"/>
      <c r="L26" s="1"/>
      <c r="M26" s="1"/>
      <c r="N26" s="1"/>
      <c r="O26" s="1"/>
      <c r="P26" s="1"/>
      <c r="Q26" s="1"/>
      <c r="R26" s="1"/>
      <c r="S26" s="27" t="s">
        <v>17</v>
      </c>
      <c r="T26" s="28">
        <f>SUM(T11:T25)</f>
        <v>8415.7304000000004</v>
      </c>
    </row>
    <row r="27" spans="2:20" x14ac:dyDescent="0.2">
      <c r="B27" s="13"/>
      <c r="C27" s="13"/>
      <c r="D27" s="1"/>
      <c r="E27" s="13"/>
      <c r="F27" s="13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/>
      <c r="T27" s="11"/>
    </row>
    <row r="28" spans="2:20" x14ac:dyDescent="0.2">
      <c r="B28" s="1"/>
      <c r="C28" s="1"/>
      <c r="D28" s="1"/>
      <c r="E28" s="1"/>
      <c r="F28" s="13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2"/>
    </row>
    <row r="29" spans="2:20" x14ac:dyDescent="0.2">
      <c r="B29" s="1"/>
      <c r="C29" s="1"/>
      <c r="D29" s="1"/>
      <c r="E29" s="1"/>
      <c r="F29" s="13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">
      <c r="B30" s="29"/>
      <c r="C30" s="29"/>
      <c r="D30" s="29"/>
      <c r="E30" s="29"/>
      <c r="F30" s="42"/>
      <c r="G30" s="29"/>
      <c r="H30" s="29"/>
      <c r="I30" s="42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x14ac:dyDescent="0.2">
      <c r="B31" s="29"/>
      <c r="C31" s="29"/>
      <c r="D31" s="29"/>
      <c r="E31" s="29"/>
      <c r="F31" s="42"/>
      <c r="G31" s="29"/>
      <c r="H31" s="29"/>
      <c r="I31" s="42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7" workbookViewId="0">
      <selection activeCell="T47" sqref="T4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491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22.5" x14ac:dyDescent="0.2">
      <c r="B11" s="131">
        <v>1</v>
      </c>
      <c r="C11" s="135" t="s">
        <v>50</v>
      </c>
      <c r="D11" s="143" t="s">
        <v>492</v>
      </c>
      <c r="E11" s="7" t="s">
        <v>493</v>
      </c>
      <c r="F11" s="135">
        <f>R11</f>
        <v>6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44">
        <v>6</v>
      </c>
      <c r="S11" s="145">
        <f>20000/3/1.16</f>
        <v>5747.1264367816102</v>
      </c>
      <c r="T11" s="138">
        <f>S11*R11</f>
        <v>34482.758620689659</v>
      </c>
    </row>
    <row r="12" spans="2:25" x14ac:dyDescent="0.2">
      <c r="B12" s="14"/>
      <c r="C12" s="7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44"/>
      <c r="S12" s="145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34482.758620689659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5517.241379310346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40000.000000000007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1"/>
  <sheetViews>
    <sheetView topLeftCell="C1" zoomScale="90" zoomScaleNormal="90" workbookViewId="0">
      <selection activeCell="I17" sqref="I1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631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22.5" x14ac:dyDescent="0.2">
      <c r="B11" s="14">
        <v>1</v>
      </c>
      <c r="C11" s="7" t="s">
        <v>50</v>
      </c>
      <c r="D11" s="197" t="s">
        <v>632</v>
      </c>
      <c r="E11" s="181" t="s">
        <v>613</v>
      </c>
      <c r="F11" s="7"/>
      <c r="G11" s="7"/>
      <c r="H11" s="7"/>
      <c r="I11" s="7">
        <v>6</v>
      </c>
      <c r="J11" s="7"/>
      <c r="K11" s="7"/>
      <c r="L11" s="7"/>
      <c r="M11" s="7"/>
      <c r="N11" s="7"/>
      <c r="O11" s="7"/>
      <c r="P11" s="7"/>
      <c r="Q11" s="7"/>
      <c r="R11" s="7">
        <f t="shared" ref="R11:R12" si="0">SUM(F11:Q11)</f>
        <v>6</v>
      </c>
      <c r="S11" s="198">
        <v>1800</v>
      </c>
      <c r="T11" s="15">
        <f>+R11*S11</f>
        <v>10800</v>
      </c>
    </row>
    <row r="12" spans="2:21" s="183" customFormat="1" x14ac:dyDescent="0.2">
      <c r="B12" s="14">
        <v>2</v>
      </c>
      <c r="C12" s="7" t="s">
        <v>50</v>
      </c>
      <c r="D12" s="199" t="s">
        <v>633</v>
      </c>
      <c r="E12" s="185" t="s">
        <v>164</v>
      </c>
      <c r="F12" s="7"/>
      <c r="G12" s="7"/>
      <c r="H12" s="7"/>
      <c r="I12" s="7">
        <v>2</v>
      </c>
      <c r="J12" s="7"/>
      <c r="K12" s="7"/>
      <c r="L12" s="7"/>
      <c r="M12" s="7"/>
      <c r="N12" s="7"/>
      <c r="O12" s="7"/>
      <c r="P12" s="7"/>
      <c r="Q12" s="7"/>
      <c r="R12" s="157">
        <f t="shared" si="0"/>
        <v>2</v>
      </c>
      <c r="S12" s="191">
        <v>2500</v>
      </c>
      <c r="T12" s="15">
        <f t="shared" ref="T12" si="1">+R12*S12</f>
        <v>5000</v>
      </c>
    </row>
    <row r="13" spans="2:21" x14ac:dyDescent="0.2">
      <c r="B13" s="14"/>
      <c r="C13" s="7"/>
      <c r="D13" s="184"/>
      <c r="E13" s="185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7"/>
      <c r="S13" s="191"/>
      <c r="T13" s="15"/>
    </row>
    <row r="14" spans="2:21" x14ac:dyDescent="0.2">
      <c r="B14" s="14"/>
      <c r="C14" s="7"/>
      <c r="D14" s="184"/>
      <c r="E14" s="18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7"/>
      <c r="S14" s="191"/>
      <c r="T14" s="15"/>
    </row>
    <row r="15" spans="2:21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91"/>
      <c r="T15" s="15"/>
    </row>
    <row r="16" spans="2:21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91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ht="13.5" thickBot="1" x14ac:dyDescent="0.25">
      <c r="B44" s="16"/>
      <c r="C44" s="17"/>
      <c r="D44" s="17"/>
      <c r="E44" s="17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18"/>
      <c r="Q44" s="18"/>
      <c r="R44" s="17"/>
      <c r="S44" s="19"/>
      <c r="T44" s="20"/>
    </row>
    <row r="45" spans="2:20" x14ac:dyDescent="0.2">
      <c r="B45" s="13"/>
      <c r="C45" s="13"/>
      <c r="D45" s="1"/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1" t="s">
        <v>18</v>
      </c>
      <c r="T45" s="26">
        <f>SUM(T11:T44)*0.16</f>
        <v>2528</v>
      </c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7" t="s">
        <v>17</v>
      </c>
      <c r="T46" s="28">
        <f>SUM(T11:T45)</f>
        <v>18328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/>
      <c r="T47" s="11"/>
    </row>
    <row r="48" spans="2:20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2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A2" zoomScale="90" zoomScaleNormal="90" workbookViewId="0">
      <selection activeCell="P14" sqref="P1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634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97" t="s">
        <v>635</v>
      </c>
      <c r="E11" s="181" t="s">
        <v>168</v>
      </c>
      <c r="F11" s="7"/>
      <c r="G11" s="7"/>
      <c r="H11" s="7"/>
      <c r="I11" s="200">
        <v>40</v>
      </c>
      <c r="J11" s="7"/>
      <c r="K11" s="7"/>
      <c r="L11" s="7"/>
      <c r="M11" s="7"/>
      <c r="N11" s="7"/>
      <c r="O11" s="7"/>
      <c r="P11" s="7"/>
      <c r="Q11" s="7"/>
      <c r="R11" s="7">
        <f t="shared" ref="R11:R14" si="0">SUM(F11:Q11)</f>
        <v>40</v>
      </c>
      <c r="S11" s="193">
        <v>250</v>
      </c>
      <c r="T11" s="15">
        <f>+R11*S11</f>
        <v>10000</v>
      </c>
    </row>
    <row r="12" spans="2:23" s="183" customFormat="1" ht="11.25" x14ac:dyDescent="0.2">
      <c r="B12" s="14">
        <v>2</v>
      </c>
      <c r="C12" s="7" t="s">
        <v>50</v>
      </c>
      <c r="D12" s="184" t="s">
        <v>636</v>
      </c>
      <c r="E12" s="185" t="s">
        <v>493</v>
      </c>
      <c r="F12" s="7"/>
      <c r="G12" s="7"/>
      <c r="H12" s="7"/>
      <c r="I12" s="201">
        <v>2</v>
      </c>
      <c r="J12" s="7"/>
      <c r="K12" s="7"/>
      <c r="L12" s="7"/>
      <c r="M12" s="7"/>
      <c r="N12" s="7"/>
      <c r="O12" s="7"/>
      <c r="P12" s="7"/>
      <c r="Q12" s="7"/>
      <c r="R12" s="157">
        <f t="shared" si="0"/>
        <v>2</v>
      </c>
      <c r="S12" s="186">
        <v>2500</v>
      </c>
      <c r="T12" s="15">
        <f t="shared" ref="T12:T14" si="1">+R12*S12</f>
        <v>5000</v>
      </c>
    </row>
    <row r="13" spans="2:23" s="183" customFormat="1" ht="11.25" x14ac:dyDescent="0.2">
      <c r="B13" s="14">
        <v>3</v>
      </c>
      <c r="C13" s="7" t="s">
        <v>50</v>
      </c>
      <c r="D13" s="184" t="s">
        <v>637</v>
      </c>
      <c r="E13" s="185" t="s">
        <v>168</v>
      </c>
      <c r="F13" s="7"/>
      <c r="G13" s="7"/>
      <c r="H13" s="7"/>
      <c r="I13" s="201">
        <v>25</v>
      </c>
      <c r="J13" s="7"/>
      <c r="K13" s="7"/>
      <c r="L13" s="7"/>
      <c r="M13" s="7"/>
      <c r="N13" s="7"/>
      <c r="O13" s="7"/>
      <c r="P13" s="7"/>
      <c r="Q13" s="7"/>
      <c r="R13" s="157">
        <f t="shared" si="0"/>
        <v>25</v>
      </c>
      <c r="S13" s="186">
        <v>350</v>
      </c>
      <c r="T13" s="15">
        <f t="shared" si="1"/>
        <v>8750</v>
      </c>
    </row>
    <row r="14" spans="2:23" x14ac:dyDescent="0.2">
      <c r="B14" s="14">
        <v>4</v>
      </c>
      <c r="C14" s="7" t="s">
        <v>50</v>
      </c>
      <c r="D14" s="184" t="s">
        <v>638</v>
      </c>
      <c r="E14" s="185" t="s">
        <v>168</v>
      </c>
      <c r="F14" s="7"/>
      <c r="G14" s="7"/>
      <c r="H14" s="7"/>
      <c r="I14" s="201">
        <v>25</v>
      </c>
      <c r="J14" s="7"/>
      <c r="K14" s="7"/>
      <c r="L14" s="7"/>
      <c r="M14" s="7"/>
      <c r="N14" s="7"/>
      <c r="O14" s="7"/>
      <c r="P14" s="7"/>
      <c r="Q14" s="7"/>
      <c r="R14" s="157">
        <f t="shared" si="0"/>
        <v>25</v>
      </c>
      <c r="S14" s="186">
        <v>200</v>
      </c>
      <c r="T14" s="15">
        <f t="shared" si="1"/>
        <v>5000</v>
      </c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7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7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4600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33350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abSelected="1" zoomScaleNormal="100" workbookViewId="0">
      <selection activeCell="N38" sqref="N3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240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>
        <v>21103</v>
      </c>
      <c r="D11" s="32" t="s">
        <v>241</v>
      </c>
      <c r="E11" s="33" t="s">
        <v>85</v>
      </c>
      <c r="F11" s="66">
        <v>2</v>
      </c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3</v>
      </c>
      <c r="S11" s="55">
        <v>79.989999999999995</v>
      </c>
      <c r="T11" s="56">
        <f>S11*R11</f>
        <v>239.96999999999997</v>
      </c>
    </row>
    <row r="12" spans="2:25" s="45" customFormat="1" x14ac:dyDescent="0.2">
      <c r="B12" s="30">
        <v>2</v>
      </c>
      <c r="C12" s="30">
        <v>21103</v>
      </c>
      <c r="D12" s="32" t="s">
        <v>362</v>
      </c>
      <c r="E12" s="33" t="s">
        <v>85</v>
      </c>
      <c r="F12" s="66">
        <v>2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2</v>
      </c>
      <c r="S12" s="58">
        <v>583.5</v>
      </c>
      <c r="T12" s="59">
        <f>+S12*R12</f>
        <v>1167</v>
      </c>
    </row>
    <row r="13" spans="2:25" s="45" customFormat="1" x14ac:dyDescent="0.2">
      <c r="B13" s="30">
        <v>3</v>
      </c>
      <c r="C13" s="30">
        <v>21103</v>
      </c>
      <c r="D13" s="32" t="s">
        <v>363</v>
      </c>
      <c r="E13" s="33" t="s">
        <v>85</v>
      </c>
      <c r="F13" s="66">
        <v>32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32</v>
      </c>
      <c r="S13" s="58">
        <v>7.15</v>
      </c>
      <c r="T13" s="59">
        <f>+S13*R13</f>
        <v>228.8</v>
      </c>
    </row>
    <row r="14" spans="2:25" s="45" customFormat="1" x14ac:dyDescent="0.2">
      <c r="B14" s="30">
        <v>4</v>
      </c>
      <c r="C14" s="30">
        <v>21103</v>
      </c>
      <c r="D14" s="32" t="s">
        <v>364</v>
      </c>
      <c r="E14" s="33" t="s">
        <v>85</v>
      </c>
      <c r="F14" s="66">
        <v>3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5" si="0">+SUM(F14:Q14)</f>
        <v>3</v>
      </c>
      <c r="S14" s="58">
        <v>100</v>
      </c>
      <c r="T14" s="59">
        <f>+S14*R14</f>
        <v>300</v>
      </c>
    </row>
    <row r="15" spans="2:25" s="45" customFormat="1" x14ac:dyDescent="0.2">
      <c r="B15" s="30">
        <v>5</v>
      </c>
      <c r="C15" s="30">
        <v>21103</v>
      </c>
      <c r="D15" s="32" t="s">
        <v>365</v>
      </c>
      <c r="E15" s="33" t="s">
        <v>85</v>
      </c>
      <c r="F15" s="66">
        <v>4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4</v>
      </c>
      <c r="S15" s="58">
        <v>47.33</v>
      </c>
      <c r="T15" s="59">
        <f t="shared" ref="T15:T25" si="1">+S15*R15</f>
        <v>189.32</v>
      </c>
    </row>
    <row r="16" spans="2:25" s="45" customFormat="1" x14ac:dyDescent="0.2">
      <c r="B16" s="30">
        <v>6</v>
      </c>
      <c r="C16" s="30">
        <v>21103</v>
      </c>
      <c r="D16" s="32" t="s">
        <v>366</v>
      </c>
      <c r="E16" s="33" t="s">
        <v>51</v>
      </c>
      <c r="F16" s="66">
        <v>6</v>
      </c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6</v>
      </c>
      <c r="S16" s="58">
        <v>6.54</v>
      </c>
      <c r="T16" s="59">
        <f t="shared" si="1"/>
        <v>39.24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30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30">
        <f t="shared" si="0"/>
        <v>0</v>
      </c>
      <c r="S25" s="9"/>
      <c r="T25" s="59">
        <f t="shared" si="1"/>
        <v>0</v>
      </c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63">
        <f>+SUM(T11:T26)*0.16</f>
        <v>346.2928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64">
        <f>+SUM(T11:T27)</f>
        <v>2510.6228000000001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48"/>
  <sheetViews>
    <sheetView topLeftCell="F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93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94</v>
      </c>
      <c r="E11" s="33" t="s">
        <v>52</v>
      </c>
      <c r="F11" s="66"/>
      <c r="G11" s="66">
        <v>8</v>
      </c>
      <c r="H11" s="66"/>
      <c r="I11" s="30">
        <v>5</v>
      </c>
      <c r="J11" s="53">
        <v>1</v>
      </c>
      <c r="K11" s="54">
        <v>1</v>
      </c>
      <c r="L11" s="69">
        <v>7</v>
      </c>
      <c r="M11" s="69"/>
      <c r="N11" s="69"/>
      <c r="O11" s="53">
        <v>6</v>
      </c>
      <c r="P11" s="54"/>
      <c r="Q11" s="54"/>
      <c r="R11" s="53">
        <f>SUM(F11:Q11)</f>
        <v>28</v>
      </c>
      <c r="S11" s="55">
        <v>1814.93</v>
      </c>
      <c r="T11" s="56">
        <f>S11*R11</f>
        <v>50818.04</v>
      </c>
    </row>
    <row r="12" spans="2:25" s="45" customFormat="1" x14ac:dyDescent="0.2">
      <c r="B12" s="30">
        <v>2</v>
      </c>
      <c r="C12" s="30" t="s">
        <v>50</v>
      </c>
      <c r="D12" s="32" t="s">
        <v>95</v>
      </c>
      <c r="E12" s="33" t="s">
        <v>52</v>
      </c>
      <c r="F12" s="66"/>
      <c r="G12" s="66">
        <v>3</v>
      </c>
      <c r="H12" s="66"/>
      <c r="I12" s="30">
        <v>3</v>
      </c>
      <c r="J12" s="30"/>
      <c r="K12" s="57"/>
      <c r="L12" s="66">
        <v>5</v>
      </c>
      <c r="M12" s="66">
        <v>1</v>
      </c>
      <c r="N12" s="66"/>
      <c r="O12" s="30">
        <v>3</v>
      </c>
      <c r="P12" s="57"/>
      <c r="Q12" s="57"/>
      <c r="R12" s="30">
        <f>+SUM(F12:Q12)</f>
        <v>15</v>
      </c>
      <c r="S12" s="58">
        <v>1847.63</v>
      </c>
      <c r="T12" s="59">
        <f>+S12*R12</f>
        <v>27714.45</v>
      </c>
    </row>
    <row r="13" spans="2:25" s="45" customFormat="1" x14ac:dyDescent="0.2">
      <c r="B13" s="30">
        <v>3</v>
      </c>
      <c r="C13" s="30" t="s">
        <v>50</v>
      </c>
      <c r="D13" s="32" t="s">
        <v>96</v>
      </c>
      <c r="E13" s="33" t="s">
        <v>52</v>
      </c>
      <c r="F13" s="66"/>
      <c r="G13" s="66">
        <v>1</v>
      </c>
      <c r="H13" s="66"/>
      <c r="I13" s="30">
        <v>1</v>
      </c>
      <c r="J13" s="30"/>
      <c r="K13" s="57"/>
      <c r="L13" s="66">
        <v>1</v>
      </c>
      <c r="M13" s="66"/>
      <c r="N13" s="66"/>
      <c r="O13" s="30">
        <v>1</v>
      </c>
      <c r="P13" s="57"/>
      <c r="Q13" s="57"/>
      <c r="R13" s="30">
        <f>+SUM(F13:Q13)</f>
        <v>4</v>
      </c>
      <c r="S13" s="58">
        <v>2646.4</v>
      </c>
      <c r="T13" s="59">
        <f>+S13*R13</f>
        <v>10585.6</v>
      </c>
    </row>
    <row r="14" spans="2:25" s="45" customFormat="1" x14ac:dyDescent="0.2">
      <c r="B14" s="30">
        <v>4</v>
      </c>
      <c r="C14" s="30" t="s">
        <v>50</v>
      </c>
      <c r="D14" s="32" t="s">
        <v>97</v>
      </c>
      <c r="E14" s="33" t="s">
        <v>52</v>
      </c>
      <c r="F14" s="66"/>
      <c r="G14" s="66">
        <v>1</v>
      </c>
      <c r="H14" s="66"/>
      <c r="I14" s="30">
        <v>1</v>
      </c>
      <c r="J14" s="30"/>
      <c r="K14" s="57"/>
      <c r="L14" s="66">
        <v>1</v>
      </c>
      <c r="M14" s="66"/>
      <c r="N14" s="66"/>
      <c r="O14" s="30">
        <v>1</v>
      </c>
      <c r="P14" s="57"/>
      <c r="Q14" s="57"/>
      <c r="R14" s="30">
        <f t="shared" ref="R14:R39" si="0">+SUM(F14:Q14)</f>
        <v>4</v>
      </c>
      <c r="S14" s="58">
        <v>3505.14</v>
      </c>
      <c r="T14" s="59">
        <f>+S14*R14</f>
        <v>14020.56</v>
      </c>
    </row>
    <row r="15" spans="2:25" s="45" customFormat="1" x14ac:dyDescent="0.2">
      <c r="B15" s="30">
        <v>5</v>
      </c>
      <c r="C15" s="30" t="s">
        <v>50</v>
      </c>
      <c r="D15" s="32" t="s">
        <v>98</v>
      </c>
      <c r="E15" s="33" t="s">
        <v>52</v>
      </c>
      <c r="F15" s="66"/>
      <c r="G15" s="66">
        <v>1</v>
      </c>
      <c r="H15" s="66"/>
      <c r="I15" s="30">
        <v>1</v>
      </c>
      <c r="J15" s="30"/>
      <c r="K15" s="57"/>
      <c r="L15" s="66">
        <v>1</v>
      </c>
      <c r="M15" s="66"/>
      <c r="N15" s="66"/>
      <c r="O15" s="30">
        <v>1</v>
      </c>
      <c r="P15" s="57"/>
      <c r="Q15" s="57"/>
      <c r="R15" s="30">
        <f t="shared" si="0"/>
        <v>4</v>
      </c>
      <c r="S15" s="58">
        <v>3505.14</v>
      </c>
      <c r="T15" s="59">
        <f t="shared" ref="T15:T39" si="1">+S15*R15</f>
        <v>14020.56</v>
      </c>
    </row>
    <row r="16" spans="2:25" s="45" customFormat="1" x14ac:dyDescent="0.2">
      <c r="B16" s="30">
        <v>6</v>
      </c>
      <c r="C16" s="30" t="s">
        <v>50</v>
      </c>
      <c r="D16" s="32" t="s">
        <v>99</v>
      </c>
      <c r="E16" s="33" t="s">
        <v>52</v>
      </c>
      <c r="F16" s="66"/>
      <c r="G16" s="66">
        <v>1</v>
      </c>
      <c r="H16" s="66"/>
      <c r="I16" s="30">
        <v>1</v>
      </c>
      <c r="J16" s="30"/>
      <c r="K16" s="57"/>
      <c r="L16" s="66">
        <v>1</v>
      </c>
      <c r="M16" s="66"/>
      <c r="N16" s="66"/>
      <c r="O16" s="30">
        <v>1</v>
      </c>
      <c r="P16" s="57"/>
      <c r="Q16" s="57"/>
      <c r="R16" s="30">
        <f t="shared" si="0"/>
        <v>4</v>
      </c>
      <c r="S16" s="58">
        <v>3505.14</v>
      </c>
      <c r="T16" s="59">
        <f t="shared" si="1"/>
        <v>14020.56</v>
      </c>
    </row>
    <row r="17" spans="2:20" s="45" customFormat="1" x14ac:dyDescent="0.2">
      <c r="B17" s="30">
        <v>7</v>
      </c>
      <c r="C17" s="30" t="s">
        <v>50</v>
      </c>
      <c r="D17" s="32" t="s">
        <v>100</v>
      </c>
      <c r="E17" s="33" t="s">
        <v>52</v>
      </c>
      <c r="F17" s="66"/>
      <c r="G17" s="66">
        <v>1</v>
      </c>
      <c r="H17" s="66"/>
      <c r="I17" s="30">
        <v>1</v>
      </c>
      <c r="J17" s="30"/>
      <c r="K17" s="57"/>
      <c r="L17" s="66">
        <v>1</v>
      </c>
      <c r="M17" s="66"/>
      <c r="N17" s="66"/>
      <c r="O17" s="30">
        <v>1</v>
      </c>
      <c r="P17" s="57"/>
      <c r="Q17" s="57"/>
      <c r="R17" s="30">
        <f t="shared" si="0"/>
        <v>4</v>
      </c>
      <c r="S17" s="58">
        <v>1258.19</v>
      </c>
      <c r="T17" s="59">
        <f t="shared" si="1"/>
        <v>5032.76</v>
      </c>
    </row>
    <row r="18" spans="2:20" s="45" customFormat="1" x14ac:dyDescent="0.2">
      <c r="B18" s="30">
        <v>8</v>
      </c>
      <c r="C18" s="30" t="s">
        <v>50</v>
      </c>
      <c r="D18" s="32" t="s">
        <v>101</v>
      </c>
      <c r="E18" s="33" t="s">
        <v>52</v>
      </c>
      <c r="F18" s="66"/>
      <c r="G18" s="66">
        <v>2</v>
      </c>
      <c r="H18" s="66"/>
      <c r="I18" s="30">
        <v>2</v>
      </c>
      <c r="J18" s="30"/>
      <c r="K18" s="57"/>
      <c r="L18" s="66">
        <v>3</v>
      </c>
      <c r="M18" s="66"/>
      <c r="N18" s="66"/>
      <c r="O18" s="30">
        <v>3</v>
      </c>
      <c r="P18" s="57"/>
      <c r="Q18" s="57"/>
      <c r="R18" s="30">
        <f t="shared" si="0"/>
        <v>10</v>
      </c>
      <c r="S18" s="58">
        <v>2171.15</v>
      </c>
      <c r="T18" s="59">
        <f t="shared" si="1"/>
        <v>21711.5</v>
      </c>
    </row>
    <row r="19" spans="2:20" s="45" customFormat="1" x14ac:dyDescent="0.2">
      <c r="B19" s="30">
        <v>9</v>
      </c>
      <c r="C19" s="30" t="s">
        <v>50</v>
      </c>
      <c r="D19" s="32" t="s">
        <v>102</v>
      </c>
      <c r="E19" s="33" t="s">
        <v>52</v>
      </c>
      <c r="F19" s="66"/>
      <c r="G19" s="66">
        <v>7</v>
      </c>
      <c r="H19" s="66"/>
      <c r="I19" s="30">
        <v>2</v>
      </c>
      <c r="J19" s="30"/>
      <c r="K19" s="57"/>
      <c r="L19" s="66">
        <v>3</v>
      </c>
      <c r="M19" s="66"/>
      <c r="N19" s="66"/>
      <c r="O19" s="30">
        <v>3</v>
      </c>
      <c r="P19" s="57"/>
      <c r="Q19" s="57"/>
      <c r="R19" s="30">
        <f t="shared" si="0"/>
        <v>15</v>
      </c>
      <c r="S19" s="58">
        <v>1564.59</v>
      </c>
      <c r="T19" s="59">
        <f t="shared" si="1"/>
        <v>23468.85</v>
      </c>
    </row>
    <row r="20" spans="2:20" s="45" customFormat="1" x14ac:dyDescent="0.2">
      <c r="B20" s="30">
        <v>10</v>
      </c>
      <c r="C20" s="30" t="s">
        <v>50</v>
      </c>
      <c r="D20" s="32" t="s">
        <v>103</v>
      </c>
      <c r="E20" s="33" t="s">
        <v>52</v>
      </c>
      <c r="F20" s="66"/>
      <c r="G20" s="66">
        <v>2</v>
      </c>
      <c r="H20" s="66">
        <v>1</v>
      </c>
      <c r="I20" s="30">
        <v>2</v>
      </c>
      <c r="J20" s="30"/>
      <c r="K20" s="57"/>
      <c r="L20" s="66">
        <v>2</v>
      </c>
      <c r="M20" s="66"/>
      <c r="N20" s="66"/>
      <c r="O20" s="30">
        <v>3</v>
      </c>
      <c r="P20" s="57"/>
      <c r="Q20" s="57"/>
      <c r="R20" s="30">
        <f t="shared" si="0"/>
        <v>10</v>
      </c>
      <c r="S20" s="58">
        <v>3529.39</v>
      </c>
      <c r="T20" s="59">
        <f t="shared" si="1"/>
        <v>35293.9</v>
      </c>
    </row>
    <row r="21" spans="2:20" s="45" customFormat="1" x14ac:dyDescent="0.2">
      <c r="B21" s="30">
        <v>11</v>
      </c>
      <c r="C21" s="30" t="s">
        <v>50</v>
      </c>
      <c r="D21" s="31" t="s">
        <v>104</v>
      </c>
      <c r="E21" s="33" t="s">
        <v>52</v>
      </c>
      <c r="F21" s="66"/>
      <c r="G21" s="66">
        <v>2</v>
      </c>
      <c r="H21" s="66"/>
      <c r="I21" s="30">
        <v>1</v>
      </c>
      <c r="J21" s="30"/>
      <c r="K21" s="57"/>
      <c r="L21" s="66">
        <v>1</v>
      </c>
      <c r="M21" s="66"/>
      <c r="N21" s="66"/>
      <c r="O21" s="30">
        <v>1</v>
      </c>
      <c r="P21" s="57"/>
      <c r="Q21" s="57"/>
      <c r="R21" s="30">
        <f t="shared" si="0"/>
        <v>5</v>
      </c>
      <c r="S21" s="58"/>
      <c r="T21" s="59">
        <f t="shared" si="1"/>
        <v>0</v>
      </c>
    </row>
    <row r="22" spans="2:20" s="45" customFormat="1" x14ac:dyDescent="0.2">
      <c r="B22" s="30">
        <v>12</v>
      </c>
      <c r="C22" s="30" t="s">
        <v>50</v>
      </c>
      <c r="D22" s="31" t="s">
        <v>105</v>
      </c>
      <c r="E22" s="33" t="s">
        <v>52</v>
      </c>
      <c r="F22" s="66"/>
      <c r="G22" s="66">
        <v>2</v>
      </c>
      <c r="H22" s="66"/>
      <c r="I22" s="30">
        <v>1</v>
      </c>
      <c r="J22" s="30"/>
      <c r="K22" s="57"/>
      <c r="L22" s="66">
        <v>1</v>
      </c>
      <c r="M22" s="66"/>
      <c r="N22" s="66"/>
      <c r="O22" s="30">
        <v>1</v>
      </c>
      <c r="P22" s="57"/>
      <c r="Q22" s="57"/>
      <c r="R22" s="30">
        <f t="shared" si="0"/>
        <v>5</v>
      </c>
      <c r="S22" s="58"/>
      <c r="T22" s="59">
        <f t="shared" si="1"/>
        <v>0</v>
      </c>
    </row>
    <row r="23" spans="2:20" s="45" customFormat="1" x14ac:dyDescent="0.2">
      <c r="B23" s="30">
        <v>13</v>
      </c>
      <c r="C23" s="30" t="s">
        <v>50</v>
      </c>
      <c r="D23" s="31" t="s">
        <v>106</v>
      </c>
      <c r="E23" s="33" t="s">
        <v>52</v>
      </c>
      <c r="F23" s="66"/>
      <c r="G23" s="66">
        <v>2</v>
      </c>
      <c r="H23" s="66"/>
      <c r="I23" s="30">
        <v>3</v>
      </c>
      <c r="J23" s="30"/>
      <c r="K23" s="57"/>
      <c r="L23" s="66">
        <v>2</v>
      </c>
      <c r="M23" s="66"/>
      <c r="N23" s="66"/>
      <c r="O23" s="30">
        <v>2</v>
      </c>
      <c r="P23" s="57"/>
      <c r="Q23" s="57"/>
      <c r="R23" s="30">
        <f t="shared" si="0"/>
        <v>9</v>
      </c>
      <c r="S23" s="58">
        <v>1565.61</v>
      </c>
      <c r="T23" s="59">
        <f t="shared" si="1"/>
        <v>14090.49</v>
      </c>
    </row>
    <row r="24" spans="2:20" s="45" customFormat="1" x14ac:dyDescent="0.2">
      <c r="B24" s="30">
        <v>14</v>
      </c>
      <c r="C24" s="30" t="s">
        <v>50</v>
      </c>
      <c r="D24" s="32" t="s">
        <v>126</v>
      </c>
      <c r="E24" s="33" t="s">
        <v>52</v>
      </c>
      <c r="F24" s="66"/>
      <c r="G24" s="66">
        <v>0</v>
      </c>
      <c r="H24" s="66"/>
      <c r="I24" s="30">
        <v>0</v>
      </c>
      <c r="J24" s="30"/>
      <c r="K24" s="57"/>
      <c r="L24" s="66">
        <v>2</v>
      </c>
      <c r="M24" s="66"/>
      <c r="N24" s="66">
        <v>1</v>
      </c>
      <c r="O24" s="30">
        <v>0</v>
      </c>
      <c r="P24" s="57"/>
      <c r="Q24" s="57"/>
      <c r="R24" s="30">
        <f t="shared" si="0"/>
        <v>3</v>
      </c>
      <c r="S24" s="58"/>
      <c r="T24" s="59">
        <f t="shared" si="1"/>
        <v>0</v>
      </c>
    </row>
    <row r="25" spans="2:20" x14ac:dyDescent="0.2">
      <c r="B25" s="30">
        <v>15</v>
      </c>
      <c r="C25" s="30" t="s">
        <v>50</v>
      </c>
      <c r="D25" s="32" t="s">
        <v>210</v>
      </c>
      <c r="E25" s="33" t="s">
        <v>52</v>
      </c>
      <c r="F25" s="73"/>
      <c r="G25" s="66"/>
      <c r="H25" s="73"/>
      <c r="I25" s="7"/>
      <c r="J25" s="7"/>
      <c r="K25" s="8">
        <v>1</v>
      </c>
      <c r="L25" s="73"/>
      <c r="M25" s="74"/>
      <c r="N25" s="73"/>
      <c r="O25" s="8"/>
      <c r="P25" s="8"/>
      <c r="Q25" s="8"/>
      <c r="R25" s="30">
        <f t="shared" si="0"/>
        <v>1</v>
      </c>
      <c r="S25" s="9">
        <v>1112.07</v>
      </c>
      <c r="T25" s="59">
        <f t="shared" si="1"/>
        <v>1112.07</v>
      </c>
    </row>
    <row r="26" spans="2:20" x14ac:dyDescent="0.2">
      <c r="B26" s="30">
        <v>16</v>
      </c>
      <c r="C26" s="30" t="s">
        <v>50</v>
      </c>
      <c r="D26" s="86" t="s">
        <v>290</v>
      </c>
      <c r="E26" s="87" t="s">
        <v>52</v>
      </c>
      <c r="F26" s="88">
        <v>3</v>
      </c>
      <c r="G26" s="67">
        <v>3</v>
      </c>
      <c r="H26" s="88">
        <v>4</v>
      </c>
      <c r="I26" s="89"/>
      <c r="J26" s="89"/>
      <c r="K26" s="90"/>
      <c r="L26" s="88"/>
      <c r="M26" s="91"/>
      <c r="N26" s="88"/>
      <c r="O26" s="90"/>
      <c r="P26" s="90"/>
      <c r="Q26" s="90"/>
      <c r="R26" s="30">
        <f t="shared" si="0"/>
        <v>10</v>
      </c>
      <c r="S26" s="92">
        <v>1290</v>
      </c>
      <c r="T26" s="59">
        <f t="shared" si="1"/>
        <v>12900</v>
      </c>
    </row>
    <row r="27" spans="2:20" x14ac:dyDescent="0.2">
      <c r="B27" s="30">
        <v>17</v>
      </c>
      <c r="C27" s="30" t="s">
        <v>50</v>
      </c>
      <c r="D27" s="86" t="s">
        <v>291</v>
      </c>
      <c r="E27" s="87" t="s">
        <v>52</v>
      </c>
      <c r="F27" s="88"/>
      <c r="G27" s="67">
        <v>3</v>
      </c>
      <c r="H27" s="88"/>
      <c r="I27" s="89"/>
      <c r="J27" s="89"/>
      <c r="K27" s="90"/>
      <c r="L27" s="88"/>
      <c r="M27" s="91"/>
      <c r="N27" s="88"/>
      <c r="O27" s="90"/>
      <c r="P27" s="90"/>
      <c r="Q27" s="90"/>
      <c r="R27" s="30">
        <f t="shared" si="0"/>
        <v>3</v>
      </c>
      <c r="S27" s="92">
        <v>1740</v>
      </c>
      <c r="T27" s="59">
        <f t="shared" si="1"/>
        <v>5220</v>
      </c>
    </row>
    <row r="28" spans="2:20" ht="25.5" x14ac:dyDescent="0.2">
      <c r="B28" s="30"/>
      <c r="C28" s="44"/>
      <c r="D28" s="124" t="s">
        <v>422</v>
      </c>
      <c r="E28" s="87" t="s">
        <v>52</v>
      </c>
      <c r="F28" s="88">
        <v>2</v>
      </c>
      <c r="G28" s="67"/>
      <c r="H28" s="88"/>
      <c r="I28" s="88">
        <v>2</v>
      </c>
      <c r="J28" s="89"/>
      <c r="K28" s="90"/>
      <c r="L28" s="88"/>
      <c r="M28" s="88">
        <v>2</v>
      </c>
      <c r="N28" s="88"/>
      <c r="O28" s="90"/>
      <c r="P28" s="88">
        <v>2</v>
      </c>
      <c r="Q28" s="90"/>
      <c r="R28" s="30">
        <f t="shared" ref="R28:R34" si="2">+SUM(F28:Q28)</f>
        <v>8</v>
      </c>
      <c r="S28" s="92">
        <v>5025</v>
      </c>
      <c r="T28" s="59">
        <f t="shared" ref="T28:T34" si="3">+S28*R28</f>
        <v>40200</v>
      </c>
    </row>
    <row r="29" spans="2:20" x14ac:dyDescent="0.2">
      <c r="B29" s="30"/>
      <c r="C29" s="44"/>
      <c r="D29" s="86" t="s">
        <v>423</v>
      </c>
      <c r="E29" s="87" t="s">
        <v>52</v>
      </c>
      <c r="F29" s="88">
        <v>1</v>
      </c>
      <c r="G29" s="67"/>
      <c r="H29" s="88"/>
      <c r="I29" s="88">
        <v>1</v>
      </c>
      <c r="J29" s="89"/>
      <c r="K29" s="90"/>
      <c r="L29" s="88"/>
      <c r="M29" s="88">
        <v>1</v>
      </c>
      <c r="N29" s="88"/>
      <c r="O29" s="90"/>
      <c r="P29" s="88">
        <v>1</v>
      </c>
      <c r="Q29" s="90"/>
      <c r="R29" s="30">
        <f t="shared" si="2"/>
        <v>4</v>
      </c>
      <c r="S29" s="92">
        <v>1479</v>
      </c>
      <c r="T29" s="59">
        <f t="shared" si="3"/>
        <v>5916</v>
      </c>
    </row>
    <row r="30" spans="2:20" x14ac:dyDescent="0.2">
      <c r="B30" s="30"/>
      <c r="C30" s="44"/>
      <c r="D30" s="86" t="s">
        <v>424</v>
      </c>
      <c r="E30" s="87" t="s">
        <v>52</v>
      </c>
      <c r="F30" s="88">
        <v>1</v>
      </c>
      <c r="G30" s="67"/>
      <c r="H30" s="88"/>
      <c r="I30" s="88">
        <v>1</v>
      </c>
      <c r="J30" s="89"/>
      <c r="K30" s="90"/>
      <c r="L30" s="88"/>
      <c r="M30" s="88">
        <v>1</v>
      </c>
      <c r="N30" s="88"/>
      <c r="O30" s="90"/>
      <c r="P30" s="88">
        <v>1</v>
      </c>
      <c r="Q30" s="90"/>
      <c r="R30" s="30">
        <f t="shared" si="2"/>
        <v>4</v>
      </c>
      <c r="S30" s="92">
        <v>387</v>
      </c>
      <c r="T30" s="59">
        <f t="shared" si="3"/>
        <v>1548</v>
      </c>
    </row>
    <row r="31" spans="2:20" x14ac:dyDescent="0.2">
      <c r="B31" s="30"/>
      <c r="C31" s="44"/>
      <c r="D31" s="86" t="s">
        <v>425</v>
      </c>
      <c r="E31" s="87" t="s">
        <v>52</v>
      </c>
      <c r="F31" s="88">
        <v>2</v>
      </c>
      <c r="G31" s="67"/>
      <c r="H31" s="88"/>
      <c r="I31" s="88">
        <v>2</v>
      </c>
      <c r="J31" s="89"/>
      <c r="K31" s="90"/>
      <c r="L31" s="88"/>
      <c r="M31" s="88">
        <v>2</v>
      </c>
      <c r="N31" s="88"/>
      <c r="O31" s="90"/>
      <c r="P31" s="88">
        <v>2</v>
      </c>
      <c r="Q31" s="90"/>
      <c r="R31" s="30">
        <f t="shared" si="2"/>
        <v>8</v>
      </c>
      <c r="S31" s="92">
        <v>181</v>
      </c>
      <c r="T31" s="59">
        <f t="shared" si="3"/>
        <v>1448</v>
      </c>
    </row>
    <row r="32" spans="2:20" x14ac:dyDescent="0.2">
      <c r="B32" s="30"/>
      <c r="C32" s="44"/>
      <c r="D32" s="86" t="s">
        <v>426</v>
      </c>
      <c r="E32" s="87" t="s">
        <v>52</v>
      </c>
      <c r="F32" s="88">
        <v>2</v>
      </c>
      <c r="G32" s="67"/>
      <c r="H32" s="88"/>
      <c r="I32" s="88">
        <v>2</v>
      </c>
      <c r="J32" s="89"/>
      <c r="K32" s="90"/>
      <c r="L32" s="88"/>
      <c r="M32" s="88">
        <v>2</v>
      </c>
      <c r="N32" s="88"/>
      <c r="O32" s="90"/>
      <c r="P32" s="88">
        <v>2</v>
      </c>
      <c r="Q32" s="90"/>
      <c r="R32" s="30">
        <f t="shared" si="2"/>
        <v>8</v>
      </c>
      <c r="S32" s="92">
        <v>2899</v>
      </c>
      <c r="T32" s="59">
        <f t="shared" si="3"/>
        <v>23192</v>
      </c>
    </row>
    <row r="33" spans="2:20" x14ac:dyDescent="0.2">
      <c r="B33" s="30"/>
      <c r="C33" s="44"/>
      <c r="D33" s="86" t="s">
        <v>427</v>
      </c>
      <c r="E33" s="87" t="s">
        <v>52</v>
      </c>
      <c r="F33" s="88">
        <v>1</v>
      </c>
      <c r="G33" s="67"/>
      <c r="H33" s="88"/>
      <c r="I33" s="88">
        <v>1</v>
      </c>
      <c r="J33" s="89"/>
      <c r="K33" s="90"/>
      <c r="L33" s="88"/>
      <c r="M33" s="88">
        <v>1</v>
      </c>
      <c r="N33" s="88"/>
      <c r="O33" s="90"/>
      <c r="P33" s="88">
        <v>1</v>
      </c>
      <c r="Q33" s="90"/>
      <c r="R33" s="30">
        <f t="shared" si="2"/>
        <v>4</v>
      </c>
      <c r="S33" s="92">
        <v>510</v>
      </c>
      <c r="T33" s="59">
        <f t="shared" si="3"/>
        <v>2040</v>
      </c>
    </row>
    <row r="34" spans="2:20" x14ac:dyDescent="0.2">
      <c r="B34" s="30"/>
      <c r="C34" s="44"/>
      <c r="D34" s="86" t="s">
        <v>428</v>
      </c>
      <c r="E34" s="87" t="s">
        <v>52</v>
      </c>
      <c r="F34" s="88">
        <v>1</v>
      </c>
      <c r="G34" s="67"/>
      <c r="H34" s="88"/>
      <c r="I34" s="88">
        <v>1</v>
      </c>
      <c r="J34" s="89"/>
      <c r="K34" s="90"/>
      <c r="L34" s="88"/>
      <c r="M34" s="88">
        <v>1</v>
      </c>
      <c r="N34" s="88"/>
      <c r="O34" s="90"/>
      <c r="P34" s="88">
        <v>1</v>
      </c>
      <c r="Q34" s="90"/>
      <c r="R34" s="30">
        <f t="shared" si="2"/>
        <v>4</v>
      </c>
      <c r="S34" s="92">
        <v>455</v>
      </c>
      <c r="T34" s="59">
        <f t="shared" si="3"/>
        <v>1820</v>
      </c>
    </row>
    <row r="35" spans="2:20" x14ac:dyDescent="0.2">
      <c r="B35" s="30"/>
      <c r="C35" s="44"/>
      <c r="D35" s="86"/>
      <c r="E35" s="87"/>
      <c r="F35" s="88"/>
      <c r="G35" s="67"/>
      <c r="H35" s="88"/>
      <c r="I35" s="89"/>
      <c r="J35" s="89"/>
      <c r="K35" s="90"/>
      <c r="L35" s="88"/>
      <c r="M35" s="91"/>
      <c r="N35" s="88"/>
      <c r="O35" s="90"/>
      <c r="P35" s="90"/>
      <c r="Q35" s="90"/>
      <c r="R35" s="30"/>
      <c r="S35" s="92"/>
      <c r="T35" s="59"/>
    </row>
    <row r="36" spans="2:20" x14ac:dyDescent="0.2">
      <c r="B36" s="30"/>
      <c r="C36" s="44"/>
      <c r="D36" s="86"/>
      <c r="E36" s="87"/>
      <c r="F36" s="88"/>
      <c r="G36" s="67"/>
      <c r="H36" s="88"/>
      <c r="I36" s="89"/>
      <c r="J36" s="89"/>
      <c r="K36" s="90"/>
      <c r="L36" s="88"/>
      <c r="M36" s="91"/>
      <c r="N36" s="88"/>
      <c r="O36" s="90"/>
      <c r="P36" s="90"/>
      <c r="Q36" s="90"/>
      <c r="R36" s="30"/>
      <c r="S36" s="92"/>
      <c r="T36" s="59"/>
    </row>
    <row r="37" spans="2:20" x14ac:dyDescent="0.2">
      <c r="B37" s="30"/>
      <c r="C37" s="44"/>
      <c r="D37" s="86"/>
      <c r="E37" s="87"/>
      <c r="F37" s="88"/>
      <c r="G37" s="67"/>
      <c r="H37" s="88"/>
      <c r="I37" s="89"/>
      <c r="J37" s="89"/>
      <c r="K37" s="90"/>
      <c r="L37" s="88"/>
      <c r="M37" s="91"/>
      <c r="N37" s="88"/>
      <c r="O37" s="90"/>
      <c r="P37" s="90"/>
      <c r="Q37" s="90"/>
      <c r="R37" s="30"/>
      <c r="S37" s="92"/>
      <c r="T37" s="59"/>
    </row>
    <row r="38" spans="2:20" x14ac:dyDescent="0.2">
      <c r="B38" s="30"/>
      <c r="C38" s="44"/>
      <c r="D38" s="86"/>
      <c r="E38" s="87"/>
      <c r="F38" s="88"/>
      <c r="G38" s="67"/>
      <c r="H38" s="88"/>
      <c r="I38" s="89"/>
      <c r="J38" s="89"/>
      <c r="K38" s="90"/>
      <c r="L38" s="88"/>
      <c r="M38" s="91"/>
      <c r="N38" s="88"/>
      <c r="O38" s="90"/>
      <c r="P38" s="90"/>
      <c r="Q38" s="90"/>
      <c r="R38" s="30"/>
      <c r="S38" s="92"/>
      <c r="T38" s="59"/>
    </row>
    <row r="39" spans="2:20" x14ac:dyDescent="0.2">
      <c r="B39" s="30"/>
      <c r="C39" s="44"/>
      <c r="D39" s="86"/>
      <c r="E39" s="87"/>
      <c r="F39" s="88"/>
      <c r="G39" s="67"/>
      <c r="H39" s="88"/>
      <c r="I39" s="89"/>
      <c r="J39" s="89"/>
      <c r="K39" s="90"/>
      <c r="L39" s="88"/>
      <c r="M39" s="91"/>
      <c r="N39" s="88"/>
      <c r="O39" s="90"/>
      <c r="P39" s="90"/>
      <c r="Q39" s="90"/>
      <c r="R39" s="30">
        <f t="shared" si="0"/>
        <v>0</v>
      </c>
      <c r="S39" s="92"/>
      <c r="T39" s="59">
        <f t="shared" si="1"/>
        <v>0</v>
      </c>
    </row>
    <row r="40" spans="2:20" x14ac:dyDescent="0.2">
      <c r="B40" s="30"/>
      <c r="C40" s="44"/>
      <c r="D40" s="86"/>
      <c r="E40" s="87"/>
      <c r="F40" s="88"/>
      <c r="G40" s="67"/>
      <c r="H40" s="88"/>
      <c r="I40" s="89"/>
      <c r="J40" s="89"/>
      <c r="K40" s="90"/>
      <c r="L40" s="88"/>
      <c r="M40" s="91"/>
      <c r="N40" s="88"/>
      <c r="O40" s="90"/>
      <c r="P40" s="90"/>
      <c r="Q40" s="90"/>
      <c r="R40" s="44"/>
      <c r="S40" s="92"/>
      <c r="T40" s="93"/>
    </row>
    <row r="41" spans="2:20" ht="13.5" thickBot="1" x14ac:dyDescent="0.25">
      <c r="B41" s="16"/>
      <c r="C41" s="17"/>
      <c r="D41" s="17"/>
      <c r="E41" s="17"/>
      <c r="F41" s="75"/>
      <c r="G41" s="76"/>
      <c r="H41" s="75"/>
      <c r="I41" s="17"/>
      <c r="J41" s="17"/>
      <c r="K41" s="18"/>
      <c r="L41" s="75"/>
      <c r="M41" s="76"/>
      <c r="N41" s="75"/>
      <c r="O41" s="18"/>
      <c r="P41" s="18"/>
      <c r="Q41" s="18"/>
      <c r="R41" s="17"/>
      <c r="S41" s="19"/>
      <c r="T41" s="20"/>
    </row>
    <row r="42" spans="2:20" x14ac:dyDescent="0.2">
      <c r="B42" s="13"/>
      <c r="C42" s="13"/>
      <c r="D42" s="1"/>
      <c r="E42" s="13"/>
      <c r="F42" s="1"/>
      <c r="G42" s="1"/>
      <c r="H42" s="1"/>
      <c r="I42" s="13"/>
      <c r="J42" s="1"/>
      <c r="K42" s="1"/>
      <c r="L42" s="1"/>
      <c r="M42" s="1"/>
      <c r="N42" s="1"/>
      <c r="O42" s="1"/>
      <c r="P42" s="1"/>
      <c r="Q42" s="1"/>
      <c r="R42" s="1"/>
      <c r="S42" s="11" t="s">
        <v>18</v>
      </c>
      <c r="T42" s="26">
        <f>+SUM(T11:T41)*0.16</f>
        <v>52187.734400000008</v>
      </c>
    </row>
    <row r="43" spans="2:20" x14ac:dyDescent="0.2">
      <c r="B43" s="13"/>
      <c r="C43" s="13"/>
      <c r="D43" s="1"/>
      <c r="E43" s="13"/>
      <c r="F43" s="1"/>
      <c r="G43" s="1"/>
      <c r="H43" s="1"/>
      <c r="I43" s="13"/>
      <c r="J43" s="1"/>
      <c r="K43" s="1"/>
      <c r="L43" s="1"/>
      <c r="M43" s="1"/>
      <c r="N43" s="1"/>
      <c r="O43" s="1"/>
      <c r="P43" s="1"/>
      <c r="Q43" s="1"/>
      <c r="R43" s="1"/>
      <c r="S43" s="27" t="s">
        <v>17</v>
      </c>
      <c r="T43" s="28">
        <f>SUM(T11:T42)</f>
        <v>378361.07440000004</v>
      </c>
    </row>
    <row r="44" spans="2:20" x14ac:dyDescent="0.2">
      <c r="B44" s="13"/>
      <c r="C44" s="13"/>
      <c r="D44" s="1"/>
      <c r="E44" s="13"/>
      <c r="F44" s="1"/>
      <c r="G44" s="1"/>
      <c r="H44" s="1"/>
      <c r="I44" s="13"/>
      <c r="J44" s="1"/>
      <c r="K44" s="1"/>
      <c r="L44" s="1"/>
      <c r="M44" s="1"/>
      <c r="N44" s="1"/>
      <c r="O44" s="1"/>
      <c r="P44" s="1"/>
      <c r="Q44" s="1"/>
      <c r="R44" s="1"/>
      <c r="S44" s="11"/>
      <c r="T44" s="11"/>
    </row>
    <row r="45" spans="2:20" x14ac:dyDescent="0.2">
      <c r="B45" s="1"/>
      <c r="C45" s="1"/>
      <c r="D45" s="1"/>
      <c r="E45" s="1"/>
      <c r="F45" s="1"/>
      <c r="G45" s="1"/>
      <c r="H45" s="1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2"/>
    </row>
    <row r="46" spans="2:20" x14ac:dyDescent="0.2">
      <c r="B46" s="1"/>
      <c r="C46" s="1"/>
      <c r="D46" s="1"/>
      <c r="E46" s="1"/>
      <c r="F46" s="1"/>
      <c r="G46" s="1"/>
      <c r="H46" s="1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x14ac:dyDescent="0.2">
      <c r="B47" s="29"/>
      <c r="C47" s="29"/>
      <c r="D47" s="29"/>
      <c r="E47" s="29"/>
      <c r="F47" s="29"/>
      <c r="G47" s="29"/>
      <c r="H47" s="29"/>
      <c r="I47" s="42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2:20" x14ac:dyDescent="0.2">
      <c r="B48" s="29"/>
      <c r="C48" s="29"/>
      <c r="D48" s="29"/>
      <c r="E48" s="29"/>
      <c r="F48" s="29"/>
      <c r="G48" s="29"/>
      <c r="H48" s="29"/>
      <c r="I48" s="42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4"/>
  <sheetViews>
    <sheetView topLeftCell="I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367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368</v>
      </c>
      <c r="E11" s="33" t="s">
        <v>85</v>
      </c>
      <c r="F11" s="66">
        <v>36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36</v>
      </c>
      <c r="S11" s="55">
        <v>145</v>
      </c>
      <c r="T11" s="56">
        <f>S11*R11</f>
        <v>5220</v>
      </c>
    </row>
    <row r="12" spans="2:25" s="45" customFormat="1" x14ac:dyDescent="0.2">
      <c r="B12" s="30">
        <v>2</v>
      </c>
      <c r="C12" s="30" t="s">
        <v>50</v>
      </c>
      <c r="D12" s="32" t="s">
        <v>369</v>
      </c>
      <c r="E12" s="33" t="s">
        <v>85</v>
      </c>
      <c r="F12" s="66">
        <v>19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19</v>
      </c>
      <c r="S12" s="58">
        <v>98</v>
      </c>
      <c r="T12" s="59">
        <f>+S12*R12</f>
        <v>1862</v>
      </c>
    </row>
    <row r="13" spans="2:25" s="45" customFormat="1" x14ac:dyDescent="0.2">
      <c r="B13" s="30">
        <v>3</v>
      </c>
      <c r="C13" s="30"/>
      <c r="D13" s="32" t="s">
        <v>370</v>
      </c>
      <c r="E13" s="33" t="s">
        <v>85</v>
      </c>
      <c r="F13" s="66">
        <v>1000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1000</v>
      </c>
      <c r="S13" s="58">
        <v>3</v>
      </c>
      <c r="T13" s="59">
        <f>+S13*R13</f>
        <v>3000</v>
      </c>
    </row>
    <row r="14" spans="2:25" s="45" customFormat="1" x14ac:dyDescent="0.2">
      <c r="B14" s="30">
        <v>4</v>
      </c>
      <c r="C14" s="30"/>
      <c r="D14" s="32" t="s">
        <v>371</v>
      </c>
      <c r="E14" s="33" t="s">
        <v>85</v>
      </c>
      <c r="F14" s="66">
        <v>5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" si="0">+SUM(F14:Q14)</f>
        <v>5</v>
      </c>
      <c r="S14" s="58">
        <v>69.81</v>
      </c>
      <c r="T14" s="59">
        <f>+S14*R14</f>
        <v>349.05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/>
      <c r="S15" s="58"/>
      <c r="T15" s="59">
        <f t="shared" ref="T15" si="1">+S15*R15</f>
        <v>0</v>
      </c>
    </row>
    <row r="16" spans="2:25" x14ac:dyDescent="0.2">
      <c r="B16" s="30"/>
      <c r="C16" s="7"/>
      <c r="D16" s="32"/>
      <c r="E16" s="33"/>
      <c r="F16" s="73"/>
      <c r="G16" s="66"/>
      <c r="H16" s="73"/>
      <c r="I16" s="7"/>
      <c r="J16" s="7"/>
      <c r="K16" s="8"/>
      <c r="L16" s="73"/>
      <c r="M16" s="74"/>
      <c r="N16" s="73"/>
      <c r="O16" s="8"/>
      <c r="P16" s="8"/>
      <c r="Q16" s="8"/>
      <c r="R16" s="7"/>
      <c r="S16" s="9"/>
      <c r="T16" s="34"/>
    </row>
    <row r="17" spans="2:20" ht="13.5" thickBot="1" x14ac:dyDescent="0.25">
      <c r="B17" s="16"/>
      <c r="C17" s="17"/>
      <c r="D17" s="17"/>
      <c r="E17" s="17"/>
      <c r="F17" s="75"/>
      <c r="G17" s="76"/>
      <c r="H17" s="75"/>
      <c r="I17" s="17"/>
      <c r="J17" s="17"/>
      <c r="K17" s="18"/>
      <c r="L17" s="75"/>
      <c r="M17" s="76"/>
      <c r="N17" s="75"/>
      <c r="O17" s="18"/>
      <c r="P17" s="18"/>
      <c r="Q17" s="18"/>
      <c r="R17" s="17"/>
      <c r="S17" s="19"/>
      <c r="T17" s="20"/>
    </row>
    <row r="18" spans="2:20" x14ac:dyDescent="0.2">
      <c r="B18" s="13"/>
      <c r="C18" s="13"/>
      <c r="D18" s="1"/>
      <c r="E18" s="13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1" t="s">
        <v>18</v>
      </c>
      <c r="T18" s="26">
        <f>+SUM(T11:T17)*0.16</f>
        <v>1668.9679999999998</v>
      </c>
    </row>
    <row r="19" spans="2:20" x14ac:dyDescent="0.2">
      <c r="B19" s="13"/>
      <c r="C19" s="13"/>
      <c r="D19" s="1"/>
      <c r="E19" s="13"/>
      <c r="F19" s="1"/>
      <c r="G19" s="1"/>
      <c r="H19" s="1"/>
      <c r="I19" s="13"/>
      <c r="J19" s="1"/>
      <c r="K19" s="1"/>
      <c r="L19" s="1"/>
      <c r="M19" s="1"/>
      <c r="N19" s="1"/>
      <c r="O19" s="1"/>
      <c r="P19" s="1"/>
      <c r="Q19" s="1"/>
      <c r="R19" s="1"/>
      <c r="S19" s="27" t="s">
        <v>17</v>
      </c>
      <c r="T19" s="28">
        <f>SUM(T11:T18)</f>
        <v>12100.018</v>
      </c>
    </row>
    <row r="20" spans="2:20" x14ac:dyDescent="0.2">
      <c r="B20" s="13"/>
      <c r="C20" s="13"/>
      <c r="D20" s="1"/>
      <c r="E20" s="13"/>
      <c r="F20" s="1"/>
      <c r="G20" s="1"/>
      <c r="H20" s="1"/>
      <c r="I20" s="13"/>
      <c r="J20" s="1"/>
      <c r="K20" s="1"/>
      <c r="L20" s="1"/>
      <c r="M20" s="1"/>
      <c r="N20" s="1"/>
      <c r="O20" s="1"/>
      <c r="P20" s="1"/>
      <c r="Q20" s="1"/>
      <c r="R20" s="1"/>
      <c r="S20" s="11"/>
      <c r="T20" s="11"/>
    </row>
    <row r="21" spans="2:20" x14ac:dyDescent="0.2">
      <c r="B21" s="1"/>
      <c r="C21" s="1"/>
      <c r="D21" s="1"/>
      <c r="E21" s="1"/>
      <c r="F21" s="1"/>
      <c r="G21" s="1"/>
      <c r="H21" s="1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2"/>
    </row>
    <row r="22" spans="2:20" x14ac:dyDescent="0.2">
      <c r="B22" s="1"/>
      <c r="C22" s="1"/>
      <c r="D22" s="1"/>
      <c r="E22" s="1"/>
      <c r="F22" s="1"/>
      <c r="G22" s="1"/>
      <c r="H22" s="1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">
      <c r="B23" s="29"/>
      <c r="C23" s="29"/>
      <c r="D23" s="29"/>
      <c r="E23" s="29"/>
      <c r="F23" s="29"/>
      <c r="G23" s="29"/>
      <c r="H23" s="29"/>
      <c r="I23" s="4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2:20" x14ac:dyDescent="0.2">
      <c r="B24" s="29"/>
      <c r="C24" s="29"/>
      <c r="D24" s="29"/>
      <c r="E24" s="29"/>
      <c r="F24" s="29"/>
      <c r="G24" s="29"/>
      <c r="H24" s="29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4"/>
  <sheetViews>
    <sheetView topLeftCell="E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372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368</v>
      </c>
      <c r="E11" s="33" t="s">
        <v>85</v>
      </c>
      <c r="F11" s="66">
        <v>18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18</v>
      </c>
      <c r="S11" s="55">
        <v>95.79</v>
      </c>
      <c r="T11" s="56">
        <f>S11*R11</f>
        <v>1724.22</v>
      </c>
    </row>
    <row r="12" spans="2:25" s="45" customFormat="1" x14ac:dyDescent="0.2">
      <c r="B12" s="30"/>
      <c r="C12" s="30"/>
      <c r="D12" s="32"/>
      <c r="E12" s="33"/>
      <c r="F12" s="66"/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/>
      <c r="S12" s="58"/>
      <c r="T12" s="59"/>
    </row>
    <row r="13" spans="2:25" s="45" customFormat="1" x14ac:dyDescent="0.2">
      <c r="B13" s="30"/>
      <c r="C13" s="30"/>
      <c r="D13" s="32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/>
      <c r="S13" s="58"/>
      <c r="T13" s="59"/>
    </row>
    <row r="14" spans="2:25" s="45" customFormat="1" x14ac:dyDescent="0.2">
      <c r="B14" s="30"/>
      <c r="C14" s="30"/>
      <c r="D14" s="32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/>
      <c r="S14" s="58"/>
      <c r="T14" s="59"/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/>
      <c r="S15" s="58"/>
      <c r="T15" s="59"/>
    </row>
    <row r="16" spans="2:25" x14ac:dyDescent="0.2">
      <c r="B16" s="30"/>
      <c r="C16" s="7"/>
      <c r="D16" s="32"/>
      <c r="E16" s="33"/>
      <c r="F16" s="73"/>
      <c r="G16" s="66"/>
      <c r="H16" s="73"/>
      <c r="I16" s="7"/>
      <c r="J16" s="7"/>
      <c r="K16" s="8"/>
      <c r="L16" s="73"/>
      <c r="M16" s="74"/>
      <c r="N16" s="73"/>
      <c r="O16" s="8"/>
      <c r="P16" s="8"/>
      <c r="Q16" s="8"/>
      <c r="R16" s="7"/>
      <c r="S16" s="9"/>
      <c r="T16" s="34"/>
    </row>
    <row r="17" spans="2:20" ht="13.5" thickBot="1" x14ac:dyDescent="0.25">
      <c r="B17" s="16"/>
      <c r="C17" s="17"/>
      <c r="D17" s="17"/>
      <c r="E17" s="17"/>
      <c r="F17" s="75"/>
      <c r="G17" s="76"/>
      <c r="H17" s="75"/>
      <c r="I17" s="17"/>
      <c r="J17" s="17"/>
      <c r="K17" s="18"/>
      <c r="L17" s="75"/>
      <c r="M17" s="76"/>
      <c r="N17" s="75"/>
      <c r="O17" s="18"/>
      <c r="P17" s="18"/>
      <c r="Q17" s="18"/>
      <c r="R17" s="17"/>
      <c r="S17" s="19"/>
      <c r="T17" s="20"/>
    </row>
    <row r="18" spans="2:20" x14ac:dyDescent="0.2">
      <c r="B18" s="13"/>
      <c r="C18" s="13"/>
      <c r="D18" s="1"/>
      <c r="E18" s="13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1" t="s">
        <v>18</v>
      </c>
      <c r="T18" s="26">
        <f>+SUM(T11:T17)*0.16</f>
        <v>275.87520000000001</v>
      </c>
    </row>
    <row r="19" spans="2:20" x14ac:dyDescent="0.2">
      <c r="B19" s="13"/>
      <c r="C19" s="13"/>
      <c r="D19" s="1"/>
      <c r="E19" s="13"/>
      <c r="F19" s="1"/>
      <c r="G19" s="1"/>
      <c r="H19" s="1"/>
      <c r="I19" s="13"/>
      <c r="J19" s="1"/>
      <c r="K19" s="1"/>
      <c r="L19" s="1"/>
      <c r="M19" s="1"/>
      <c r="N19" s="1"/>
      <c r="O19" s="1"/>
      <c r="P19" s="1"/>
      <c r="Q19" s="1"/>
      <c r="R19" s="1"/>
      <c r="S19" s="27" t="s">
        <v>17</v>
      </c>
      <c r="T19" s="28">
        <f>SUM(T11:T18)</f>
        <v>2000.0952</v>
      </c>
    </row>
    <row r="20" spans="2:20" x14ac:dyDescent="0.2">
      <c r="B20" s="13"/>
      <c r="C20" s="13"/>
      <c r="D20" s="1"/>
      <c r="E20" s="13"/>
      <c r="F20" s="1"/>
      <c r="G20" s="1"/>
      <c r="H20" s="1"/>
      <c r="I20" s="13"/>
      <c r="J20" s="1"/>
      <c r="K20" s="1"/>
      <c r="L20" s="1"/>
      <c r="M20" s="1"/>
      <c r="N20" s="1"/>
      <c r="O20" s="1"/>
      <c r="P20" s="1"/>
      <c r="Q20" s="1"/>
      <c r="R20" s="1"/>
      <c r="S20" s="11"/>
      <c r="T20" s="11"/>
    </row>
    <row r="21" spans="2:20" x14ac:dyDescent="0.2">
      <c r="B21" s="1"/>
      <c r="C21" s="1"/>
      <c r="D21" s="1"/>
      <c r="E21" s="1"/>
      <c r="F21" s="1"/>
      <c r="G21" s="1"/>
      <c r="H21" s="1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2"/>
    </row>
    <row r="22" spans="2:20" x14ac:dyDescent="0.2">
      <c r="B22" s="1"/>
      <c r="C22" s="1"/>
      <c r="D22" s="1"/>
      <c r="E22" s="1"/>
      <c r="F22" s="1"/>
      <c r="G22" s="1"/>
      <c r="H22" s="1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">
      <c r="B23" s="29"/>
      <c r="C23" s="29"/>
      <c r="D23" s="29"/>
      <c r="E23" s="29"/>
      <c r="F23" s="29"/>
      <c r="G23" s="29"/>
      <c r="H23" s="29"/>
      <c r="I23" s="4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2:20" x14ac:dyDescent="0.2">
      <c r="B24" s="29"/>
      <c r="C24" s="29"/>
      <c r="D24" s="29"/>
      <c r="E24" s="29"/>
      <c r="F24" s="29"/>
      <c r="G24" s="29"/>
      <c r="H24" s="29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B1" zoomScale="90" zoomScaleNormal="90" workbookViewId="0">
      <selection activeCell="D29" sqref="D27:D2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639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226" t="s">
        <v>640</v>
      </c>
      <c r="E11" s="181" t="s">
        <v>641</v>
      </c>
      <c r="F11" s="7"/>
      <c r="G11" s="7"/>
      <c r="H11" s="7">
        <v>50</v>
      </c>
      <c r="I11" s="200"/>
      <c r="J11" s="7"/>
      <c r="K11" s="7">
        <v>50</v>
      </c>
      <c r="L11" s="7"/>
      <c r="M11" s="7"/>
      <c r="N11" s="7">
        <v>50</v>
      </c>
      <c r="O11" s="7"/>
      <c r="P11" s="7"/>
      <c r="Q11" s="7"/>
      <c r="R11" s="7">
        <f t="shared" ref="R11" si="0">SUM(F11:Q11)</f>
        <v>150</v>
      </c>
      <c r="S11" s="193">
        <v>100</v>
      </c>
      <c r="T11" s="15">
        <f>+R11*S11</f>
        <v>15000</v>
      </c>
    </row>
    <row r="12" spans="2:23" s="183" customFormat="1" x14ac:dyDescent="0.2">
      <c r="B12" s="14"/>
      <c r="C12" s="7"/>
      <c r="D12" s="225" t="s">
        <v>767</v>
      </c>
      <c r="E12" s="30" t="s">
        <v>140</v>
      </c>
      <c r="F12" s="66">
        <v>1</v>
      </c>
      <c r="G12" s="66"/>
      <c r="H12" s="66"/>
      <c r="I12" s="30"/>
      <c r="J12" s="30"/>
      <c r="K12" s="30"/>
      <c r="L12" s="66"/>
      <c r="M12" s="70"/>
      <c r="N12" s="66"/>
      <c r="O12" s="30"/>
      <c r="P12" s="57"/>
      <c r="Q12" s="57"/>
      <c r="R12" s="30">
        <f t="shared" ref="R12" si="1">+SUM(F12:Q12)</f>
        <v>1</v>
      </c>
      <c r="S12" s="95">
        <v>4309.99</v>
      </c>
      <c r="T12" s="59">
        <f>S12*R12</f>
        <v>4309.99</v>
      </c>
    </row>
    <row r="13" spans="2:23" s="183" customFormat="1" ht="11.25" x14ac:dyDescent="0.2">
      <c r="B13" s="14"/>
      <c r="C13" s="7"/>
      <c r="D13" s="184"/>
      <c r="E13" s="185"/>
      <c r="F13" s="7"/>
      <c r="G13" s="7"/>
      <c r="H13" s="7"/>
      <c r="I13" s="201"/>
      <c r="J13" s="7"/>
      <c r="K13" s="7"/>
      <c r="L13" s="7"/>
      <c r="M13" s="7"/>
      <c r="N13" s="7"/>
      <c r="O13" s="7"/>
      <c r="P13" s="7"/>
      <c r="Q13" s="7"/>
      <c r="R13" s="157"/>
      <c r="S13" s="186"/>
      <c r="T13" s="15"/>
    </row>
    <row r="14" spans="2:23" x14ac:dyDescent="0.2">
      <c r="B14" s="14"/>
      <c r="C14" s="7"/>
      <c r="D14" s="184"/>
      <c r="E14" s="185"/>
      <c r="F14" s="7"/>
      <c r="G14" s="7"/>
      <c r="H14" s="7"/>
      <c r="I14" s="201"/>
      <c r="J14" s="7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7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7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3089.5983999999999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22399.588399999997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C1" zoomScale="90" zoomScaleNormal="90" workbookViewId="0">
      <selection activeCell="H18" sqref="H1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642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97" t="s">
        <v>643</v>
      </c>
      <c r="E11" s="181" t="s">
        <v>644</v>
      </c>
      <c r="F11" s="7"/>
      <c r="G11" s="7"/>
      <c r="H11" s="7"/>
      <c r="I11" s="200"/>
      <c r="J11" s="7"/>
      <c r="K11" s="7">
        <v>25</v>
      </c>
      <c r="L11" s="7"/>
      <c r="M11" s="7"/>
      <c r="N11" s="7"/>
      <c r="O11" s="7"/>
      <c r="P11" s="7"/>
      <c r="Q11" s="7"/>
      <c r="R11" s="7">
        <f>SUM(F11:Q11)</f>
        <v>25</v>
      </c>
      <c r="S11" s="193">
        <v>200</v>
      </c>
      <c r="T11" s="15">
        <f>+R11*S11</f>
        <v>5000</v>
      </c>
    </row>
    <row r="12" spans="2:23" s="183" customFormat="1" ht="11.25" x14ac:dyDescent="0.2">
      <c r="B12" s="14"/>
      <c r="C12" s="7"/>
      <c r="D12" s="184"/>
      <c r="E12" s="185"/>
      <c r="F12" s="7"/>
      <c r="G12" s="7"/>
      <c r="H12" s="7"/>
      <c r="I12" s="201"/>
      <c r="J12" s="7"/>
      <c r="K12" s="7"/>
      <c r="L12" s="7"/>
      <c r="M12" s="7"/>
      <c r="N12" s="7"/>
      <c r="O12" s="7"/>
      <c r="P12" s="7"/>
      <c r="Q12" s="7"/>
      <c r="R12" s="157"/>
      <c r="S12" s="186"/>
      <c r="T12" s="15"/>
    </row>
    <row r="13" spans="2:23" s="183" customFormat="1" ht="11.25" x14ac:dyDescent="0.2">
      <c r="B13" s="14"/>
      <c r="C13" s="7"/>
      <c r="D13" s="184"/>
      <c r="E13" s="185"/>
      <c r="F13" s="7"/>
      <c r="G13" s="7"/>
      <c r="H13" s="7"/>
      <c r="I13" s="201"/>
      <c r="J13" s="7"/>
      <c r="K13" s="7"/>
      <c r="L13" s="7"/>
      <c r="M13" s="7"/>
      <c r="N13" s="7"/>
      <c r="O13" s="7"/>
      <c r="P13" s="7"/>
      <c r="Q13" s="7"/>
      <c r="R13" s="157"/>
      <c r="S13" s="186"/>
      <c r="T13" s="15"/>
    </row>
    <row r="14" spans="2:23" x14ac:dyDescent="0.2">
      <c r="B14" s="14"/>
      <c r="C14" s="7"/>
      <c r="D14" s="184"/>
      <c r="E14" s="185"/>
      <c r="F14" s="7"/>
      <c r="G14" s="7"/>
      <c r="H14" s="7"/>
      <c r="I14" s="201"/>
      <c r="J14" s="7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7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7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800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5800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4"/>
  <sheetViews>
    <sheetView topLeftCell="J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154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155</v>
      </c>
      <c r="E11" s="33" t="s">
        <v>85</v>
      </c>
      <c r="F11" s="66"/>
      <c r="G11" s="66">
        <v>1</v>
      </c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</v>
      </c>
      <c r="S11" s="55">
        <v>3097.2</v>
      </c>
      <c r="T11" s="56">
        <f>S11*R11</f>
        <v>3097.2</v>
      </c>
    </row>
    <row r="12" spans="2:25" s="45" customFormat="1" x14ac:dyDescent="0.2">
      <c r="B12" s="30">
        <v>2</v>
      </c>
      <c r="C12" s="30" t="s">
        <v>50</v>
      </c>
      <c r="D12" s="32" t="s">
        <v>222</v>
      </c>
      <c r="E12" s="33" t="s">
        <v>85</v>
      </c>
      <c r="F12" s="66"/>
      <c r="G12" s="66"/>
      <c r="H12" s="66"/>
      <c r="I12" s="30"/>
      <c r="J12" s="30"/>
      <c r="K12" s="57"/>
      <c r="L12" s="66">
        <v>1</v>
      </c>
      <c r="M12" s="66"/>
      <c r="N12" s="66"/>
      <c r="O12" s="30"/>
      <c r="P12" s="57"/>
      <c r="Q12" s="57"/>
      <c r="R12" s="30">
        <f>+SUM(F12:Q12)</f>
        <v>1</v>
      </c>
      <c r="S12" s="58">
        <v>2195.3000000000002</v>
      </c>
      <c r="T12" s="59">
        <f>+S12*R12</f>
        <v>2195.3000000000002</v>
      </c>
    </row>
    <row r="13" spans="2:25" s="45" customFormat="1" x14ac:dyDescent="0.2">
      <c r="B13" s="30"/>
      <c r="C13" s="30"/>
      <c r="D13" s="195" t="s">
        <v>645</v>
      </c>
      <c r="E13" s="202" t="s">
        <v>341</v>
      </c>
      <c r="F13" s="7"/>
      <c r="G13" s="7"/>
      <c r="H13" s="7">
        <v>1</v>
      </c>
      <c r="I13" s="7"/>
      <c r="J13" s="7"/>
      <c r="K13" s="7"/>
      <c r="L13" s="7"/>
      <c r="M13" s="7"/>
      <c r="N13" s="7"/>
      <c r="O13" s="7"/>
      <c r="P13" s="7"/>
      <c r="Q13" s="7"/>
      <c r="R13" s="7">
        <f t="shared" ref="R13:R19" si="0">SUM(F13:Q13)</f>
        <v>1</v>
      </c>
      <c r="S13" s="193">
        <v>9500</v>
      </c>
      <c r="T13" s="15">
        <f>+R13*S13</f>
        <v>9500</v>
      </c>
    </row>
    <row r="14" spans="2:25" s="45" customFormat="1" x14ac:dyDescent="0.2">
      <c r="B14" s="30"/>
      <c r="C14" s="30"/>
      <c r="D14" s="188" t="s">
        <v>646</v>
      </c>
      <c r="E14" s="185" t="s">
        <v>341</v>
      </c>
      <c r="F14" s="7"/>
      <c r="G14" s="7"/>
      <c r="H14" s="7">
        <v>1</v>
      </c>
      <c r="I14" s="7"/>
      <c r="J14" s="7"/>
      <c r="K14" s="7"/>
      <c r="L14" s="7"/>
      <c r="M14" s="7"/>
      <c r="N14" s="7"/>
      <c r="O14" s="7"/>
      <c r="P14" s="7"/>
      <c r="Q14" s="7"/>
      <c r="R14" s="157">
        <f t="shared" si="0"/>
        <v>1</v>
      </c>
      <c r="S14" s="186">
        <v>25000</v>
      </c>
      <c r="T14" s="15">
        <f t="shared" ref="T14:T19" si="1">+R14*S14</f>
        <v>25000</v>
      </c>
    </row>
    <row r="15" spans="2:25" s="45" customFormat="1" x14ac:dyDescent="0.2">
      <c r="B15" s="30"/>
      <c r="C15" s="30"/>
      <c r="D15" s="188" t="s">
        <v>647</v>
      </c>
      <c r="E15" s="185" t="s">
        <v>493</v>
      </c>
      <c r="F15" s="7"/>
      <c r="G15" s="7"/>
      <c r="H15" s="7">
        <v>20</v>
      </c>
      <c r="I15" s="7"/>
      <c r="J15" s="7"/>
      <c r="K15" s="7"/>
      <c r="L15" s="7"/>
      <c r="M15" s="7"/>
      <c r="N15" s="7"/>
      <c r="O15" s="7"/>
      <c r="P15" s="7"/>
      <c r="Q15" s="7"/>
      <c r="R15" s="157">
        <f t="shared" si="0"/>
        <v>20</v>
      </c>
      <c r="S15" s="186">
        <v>50</v>
      </c>
      <c r="T15" s="15">
        <f t="shared" si="1"/>
        <v>1000</v>
      </c>
    </row>
    <row r="16" spans="2:25" x14ac:dyDescent="0.2">
      <c r="B16" s="30"/>
      <c r="C16" s="7"/>
      <c r="D16" s="188" t="s">
        <v>648</v>
      </c>
      <c r="E16" s="185" t="s">
        <v>493</v>
      </c>
      <c r="F16" s="7"/>
      <c r="G16" s="7"/>
      <c r="H16" s="7">
        <v>10</v>
      </c>
      <c r="I16" s="7"/>
      <c r="J16" s="7"/>
      <c r="K16" s="7"/>
      <c r="L16" s="7"/>
      <c r="M16" s="7"/>
      <c r="N16" s="7"/>
      <c r="O16" s="7"/>
      <c r="P16" s="7"/>
      <c r="Q16" s="7"/>
      <c r="R16" s="157">
        <f t="shared" si="0"/>
        <v>10</v>
      </c>
      <c r="S16" s="186">
        <v>25</v>
      </c>
      <c r="T16" s="15">
        <f t="shared" si="1"/>
        <v>250</v>
      </c>
    </row>
    <row r="17" spans="2:20" x14ac:dyDescent="0.2">
      <c r="B17" s="7"/>
      <c r="C17" s="7"/>
      <c r="D17" s="188" t="s">
        <v>649</v>
      </c>
      <c r="E17" s="185" t="s">
        <v>493</v>
      </c>
      <c r="F17" s="7"/>
      <c r="G17" s="7"/>
      <c r="H17" s="7">
        <v>10</v>
      </c>
      <c r="I17" s="7"/>
      <c r="J17" s="7"/>
      <c r="K17" s="7"/>
      <c r="L17" s="7"/>
      <c r="M17" s="7"/>
      <c r="N17" s="7"/>
      <c r="O17" s="7"/>
      <c r="P17" s="7"/>
      <c r="Q17" s="7"/>
      <c r="R17" s="157">
        <f t="shared" si="0"/>
        <v>10</v>
      </c>
      <c r="S17" s="186">
        <v>120</v>
      </c>
      <c r="T17" s="15">
        <f t="shared" si="1"/>
        <v>1200</v>
      </c>
    </row>
    <row r="18" spans="2:20" x14ac:dyDescent="0.2">
      <c r="B18" s="7"/>
      <c r="C18" s="7"/>
      <c r="D18" s="188" t="s">
        <v>650</v>
      </c>
      <c r="E18" s="185" t="s">
        <v>51</v>
      </c>
      <c r="F18" s="7"/>
      <c r="G18" s="7"/>
      <c r="H18" s="7">
        <v>10</v>
      </c>
      <c r="I18" s="7"/>
      <c r="J18" s="7"/>
      <c r="K18" s="7"/>
      <c r="L18" s="7"/>
      <c r="M18" s="7"/>
      <c r="N18" s="7"/>
      <c r="O18" s="7"/>
      <c r="P18" s="7"/>
      <c r="Q18" s="7"/>
      <c r="R18" s="157">
        <f t="shared" si="0"/>
        <v>10</v>
      </c>
      <c r="S18" s="186">
        <v>150</v>
      </c>
      <c r="T18" s="15">
        <f t="shared" si="1"/>
        <v>1500</v>
      </c>
    </row>
    <row r="19" spans="2:20" x14ac:dyDescent="0.2">
      <c r="B19" s="7"/>
      <c r="C19" s="7"/>
      <c r="D19" s="188" t="s">
        <v>651</v>
      </c>
      <c r="E19" s="185" t="s">
        <v>51</v>
      </c>
      <c r="F19" s="7"/>
      <c r="G19" s="7"/>
      <c r="H19" s="7">
        <v>2</v>
      </c>
      <c r="I19" s="7"/>
      <c r="J19" s="7"/>
      <c r="K19" s="7"/>
      <c r="L19" s="7"/>
      <c r="M19" s="7"/>
      <c r="N19" s="7"/>
      <c r="O19" s="7"/>
      <c r="P19" s="7"/>
      <c r="Q19" s="7"/>
      <c r="R19" s="157">
        <f t="shared" si="0"/>
        <v>2</v>
      </c>
      <c r="S19" s="186">
        <v>1200</v>
      </c>
      <c r="T19" s="15">
        <f t="shared" si="1"/>
        <v>2400</v>
      </c>
    </row>
    <row r="20" spans="2:20" x14ac:dyDescent="0.2">
      <c r="B20" s="13"/>
      <c r="C20" s="13"/>
      <c r="D20" s="1"/>
      <c r="E20" s="13"/>
      <c r="F20" s="1"/>
      <c r="G20" s="1"/>
      <c r="H20" s="1"/>
      <c r="I20" s="13"/>
      <c r="J20" s="1"/>
      <c r="K20" s="1"/>
      <c r="L20" s="1"/>
      <c r="M20" s="1"/>
      <c r="N20" s="1"/>
      <c r="O20" s="1"/>
      <c r="P20" s="1"/>
      <c r="Q20" s="1"/>
      <c r="R20" s="1"/>
      <c r="S20" s="11"/>
      <c r="T20" s="11"/>
    </row>
    <row r="21" spans="2:20" x14ac:dyDescent="0.2">
      <c r="B21" s="1"/>
      <c r="C21" s="1"/>
      <c r="D21" s="1"/>
      <c r="E21" s="1"/>
      <c r="F21" s="1"/>
      <c r="G21" s="1"/>
      <c r="H21" s="1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2"/>
    </row>
    <row r="22" spans="2:20" x14ac:dyDescent="0.2">
      <c r="B22" s="1"/>
      <c r="C22" s="1"/>
      <c r="D22" s="1"/>
      <c r="E22" s="1"/>
      <c r="F22" s="1"/>
      <c r="G22" s="1"/>
      <c r="H22" s="1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">
      <c r="B23" s="29"/>
      <c r="C23" s="29"/>
      <c r="D23" s="29"/>
      <c r="E23" s="29"/>
      <c r="F23" s="29"/>
      <c r="G23" s="29"/>
      <c r="H23" s="29"/>
      <c r="I23" s="4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2:20" x14ac:dyDescent="0.2">
      <c r="B24" s="29"/>
      <c r="C24" s="29"/>
      <c r="D24" s="29"/>
      <c r="E24" s="29"/>
      <c r="F24" s="29"/>
      <c r="G24" s="29"/>
      <c r="H24" s="29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C1" zoomScale="90" zoomScaleNormal="90" workbookViewId="0">
      <selection activeCell="Q37" sqref="Q3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652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94" t="s">
        <v>653</v>
      </c>
      <c r="E11" s="202" t="s">
        <v>493</v>
      </c>
      <c r="F11" s="7"/>
      <c r="G11" s="7"/>
      <c r="H11" s="7">
        <v>8</v>
      </c>
      <c r="I11" s="7"/>
      <c r="J11" s="7"/>
      <c r="K11" s="7"/>
      <c r="L11" s="7"/>
      <c r="M11" s="7"/>
      <c r="N11" s="7"/>
      <c r="O11" s="7"/>
      <c r="P11" s="7"/>
      <c r="Q11" s="7"/>
      <c r="R11" s="7">
        <f t="shared" ref="R11:R13" si="0">SUM(F11:Q11)</f>
        <v>8</v>
      </c>
      <c r="S11" s="193">
        <v>500</v>
      </c>
      <c r="T11" s="15">
        <f>+R11*S11</f>
        <v>4000</v>
      </c>
    </row>
    <row r="12" spans="2:23" s="183" customFormat="1" ht="11.25" x14ac:dyDescent="0.2">
      <c r="B12" s="14">
        <v>2</v>
      </c>
      <c r="C12" s="7" t="s">
        <v>50</v>
      </c>
      <c r="D12" s="184" t="s">
        <v>654</v>
      </c>
      <c r="E12" s="185" t="s">
        <v>493</v>
      </c>
      <c r="F12" s="7"/>
      <c r="G12" s="7"/>
      <c r="H12" s="7">
        <v>8</v>
      </c>
      <c r="I12" s="7"/>
      <c r="J12" s="7"/>
      <c r="K12" s="7"/>
      <c r="L12" s="7"/>
      <c r="M12" s="7"/>
      <c r="N12" s="7"/>
      <c r="O12" s="7"/>
      <c r="P12" s="7"/>
      <c r="Q12" s="7"/>
      <c r="R12" s="157">
        <f t="shared" si="0"/>
        <v>8</v>
      </c>
      <c r="S12" s="186">
        <v>765</v>
      </c>
      <c r="T12" s="15">
        <f t="shared" ref="T12:T13" si="1">+R12*S12</f>
        <v>6120</v>
      </c>
    </row>
    <row r="13" spans="2:23" s="183" customFormat="1" ht="11.25" x14ac:dyDescent="0.2">
      <c r="B13" s="14">
        <v>3</v>
      </c>
      <c r="C13" s="7" t="s">
        <v>50</v>
      </c>
      <c r="D13" s="184" t="s">
        <v>655</v>
      </c>
      <c r="E13" s="185" t="s">
        <v>493</v>
      </c>
      <c r="F13" s="7"/>
      <c r="G13" s="7"/>
      <c r="H13" s="7">
        <v>8</v>
      </c>
      <c r="I13" s="7"/>
      <c r="J13" s="7"/>
      <c r="K13" s="7"/>
      <c r="L13" s="7"/>
      <c r="M13" s="7"/>
      <c r="N13" s="7"/>
      <c r="O13" s="7"/>
      <c r="P13" s="7"/>
      <c r="Q13" s="7"/>
      <c r="R13" s="157">
        <f t="shared" si="0"/>
        <v>8</v>
      </c>
      <c r="S13" s="186">
        <v>800</v>
      </c>
      <c r="T13" s="15">
        <f t="shared" si="1"/>
        <v>6400</v>
      </c>
    </row>
    <row r="14" spans="2:23" x14ac:dyDescent="0.2">
      <c r="B14" s="14"/>
      <c r="C14" s="7"/>
      <c r="D14" s="184"/>
      <c r="E14" s="18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6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6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6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2643.2000000000003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19163.2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topLeftCell="C1" zoomScale="90" zoomScaleNormal="90" workbookViewId="0">
      <selection activeCell="G16" sqref="G1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656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94" t="s">
        <v>657</v>
      </c>
      <c r="E11" s="202" t="s">
        <v>341</v>
      </c>
      <c r="F11" s="7"/>
      <c r="G11" s="7"/>
      <c r="H11" s="7"/>
      <c r="I11" s="7"/>
      <c r="J11" s="7"/>
      <c r="K11" s="7"/>
      <c r="L11" s="7"/>
      <c r="M11" s="203">
        <v>2</v>
      </c>
      <c r="N11" s="7"/>
      <c r="O11" s="7"/>
      <c r="P11" s="7"/>
      <c r="Q11" s="7"/>
      <c r="R11" s="7">
        <f t="shared" ref="R11:R14" si="0">SUM(F11:Q11)</f>
        <v>2</v>
      </c>
      <c r="S11" s="193">
        <v>1200</v>
      </c>
      <c r="T11" s="15">
        <f>+R11*S11</f>
        <v>2400</v>
      </c>
    </row>
    <row r="12" spans="2:23" s="183" customFormat="1" ht="11.25" x14ac:dyDescent="0.2">
      <c r="B12" s="14">
        <v>2</v>
      </c>
      <c r="C12" s="7" t="s">
        <v>50</v>
      </c>
      <c r="D12" s="184" t="s">
        <v>658</v>
      </c>
      <c r="E12" s="185" t="s">
        <v>493</v>
      </c>
      <c r="F12" s="7"/>
      <c r="G12" s="7"/>
      <c r="H12" s="7"/>
      <c r="I12" s="7"/>
      <c r="J12" s="7"/>
      <c r="K12" s="7"/>
      <c r="L12" s="7"/>
      <c r="M12" s="201">
        <v>2</v>
      </c>
      <c r="N12" s="7"/>
      <c r="O12" s="7"/>
      <c r="P12" s="7"/>
      <c r="Q12" s="7"/>
      <c r="R12" s="157">
        <f t="shared" si="0"/>
        <v>2</v>
      </c>
      <c r="S12" s="186">
        <v>2500</v>
      </c>
      <c r="T12" s="15">
        <f t="shared" ref="T12:T14" si="1">+R12*S12</f>
        <v>5000</v>
      </c>
    </row>
    <row r="13" spans="2:23" s="183" customFormat="1" ht="11.25" x14ac:dyDescent="0.2">
      <c r="B13" s="14">
        <v>3</v>
      </c>
      <c r="C13" s="7" t="s">
        <v>50</v>
      </c>
      <c r="D13" s="184" t="s">
        <v>659</v>
      </c>
      <c r="E13" s="185" t="s">
        <v>341</v>
      </c>
      <c r="F13" s="7"/>
      <c r="G13" s="7"/>
      <c r="H13" s="7"/>
      <c r="I13" s="7"/>
      <c r="J13" s="7"/>
      <c r="K13" s="7"/>
      <c r="L13" s="7"/>
      <c r="M13" s="201">
        <v>2</v>
      </c>
      <c r="N13" s="7"/>
      <c r="O13" s="7"/>
      <c r="P13" s="7"/>
      <c r="Q13" s="7"/>
      <c r="R13" s="157">
        <f t="shared" si="0"/>
        <v>2</v>
      </c>
      <c r="S13" s="186">
        <v>1000</v>
      </c>
      <c r="T13" s="15">
        <f t="shared" si="1"/>
        <v>2000</v>
      </c>
    </row>
    <row r="14" spans="2:23" x14ac:dyDescent="0.2">
      <c r="B14" s="14"/>
      <c r="C14" s="7" t="s">
        <v>50</v>
      </c>
      <c r="D14" s="184" t="s">
        <v>660</v>
      </c>
      <c r="E14" s="185" t="s">
        <v>493</v>
      </c>
      <c r="F14" s="7"/>
      <c r="G14" s="7"/>
      <c r="H14" s="7"/>
      <c r="I14" s="7"/>
      <c r="J14" s="7"/>
      <c r="K14" s="7"/>
      <c r="L14" s="7"/>
      <c r="M14" s="201">
        <v>200</v>
      </c>
      <c r="N14" s="7"/>
      <c r="O14" s="7"/>
      <c r="P14" s="7"/>
      <c r="Q14" s="7"/>
      <c r="R14" s="157">
        <f t="shared" si="0"/>
        <v>200</v>
      </c>
      <c r="S14" s="186">
        <v>10</v>
      </c>
      <c r="T14" s="15">
        <f t="shared" si="1"/>
        <v>2000</v>
      </c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6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6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6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1824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13224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J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710937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373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7" t="s">
        <v>374</v>
      </c>
      <c r="E11" s="33" t="s">
        <v>85</v>
      </c>
      <c r="F11" s="66">
        <v>1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</v>
      </c>
      <c r="S11" s="55">
        <v>17241.38</v>
      </c>
      <c r="T11" s="56">
        <f>S11*R11</f>
        <v>17241.38</v>
      </c>
    </row>
    <row r="12" spans="2:25" s="45" customFormat="1" x14ac:dyDescent="0.2">
      <c r="B12" s="30"/>
      <c r="C12" s="30"/>
      <c r="D12" s="195" t="s">
        <v>661</v>
      </c>
      <c r="E12" s="202" t="s">
        <v>662</v>
      </c>
      <c r="F12" s="7"/>
      <c r="G12" s="7"/>
      <c r="H12" s="7"/>
      <c r="I12" s="7"/>
      <c r="J12" s="7">
        <v>5</v>
      </c>
      <c r="K12" s="7"/>
      <c r="L12" s="7"/>
      <c r="M12" s="203"/>
      <c r="N12" s="7"/>
      <c r="O12" s="7"/>
      <c r="P12" s="7"/>
      <c r="Q12" s="7"/>
      <c r="R12" s="7">
        <f t="shared" ref="R12:R13" si="0">SUM(F12:Q12)</f>
        <v>5</v>
      </c>
      <c r="S12" s="193">
        <v>1200</v>
      </c>
      <c r="T12" s="15">
        <f>+R12*S12</f>
        <v>6000</v>
      </c>
    </row>
    <row r="13" spans="2:25" s="45" customFormat="1" x14ac:dyDescent="0.2">
      <c r="B13" s="30"/>
      <c r="C13" s="30"/>
      <c r="D13" s="188" t="s">
        <v>663</v>
      </c>
      <c r="E13" s="185" t="s">
        <v>168</v>
      </c>
      <c r="F13" s="7"/>
      <c r="G13" s="7"/>
      <c r="H13" s="7"/>
      <c r="I13" s="7"/>
      <c r="J13" s="7">
        <v>25</v>
      </c>
      <c r="K13" s="7"/>
      <c r="L13" s="7"/>
      <c r="M13" s="201"/>
      <c r="N13" s="7"/>
      <c r="O13" s="7"/>
      <c r="P13" s="7"/>
      <c r="Q13" s="7"/>
      <c r="R13" s="157">
        <f t="shared" si="0"/>
        <v>25</v>
      </c>
      <c r="S13" s="186">
        <v>200</v>
      </c>
      <c r="T13" s="15">
        <f t="shared" ref="T13" si="1">+R13*S13</f>
        <v>5000</v>
      </c>
    </row>
    <row r="14" spans="2:25" s="45" customFormat="1" x14ac:dyDescent="0.2">
      <c r="B14" s="30"/>
      <c r="C14" s="30"/>
      <c r="D14" s="204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2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2"/>
        <v>0</v>
      </c>
      <c r="S15" s="58"/>
      <c r="T15" s="59">
        <f t="shared" ref="T15:T24" si="3">+S15*R15</f>
        <v>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2"/>
        <v>0</v>
      </c>
      <c r="S16" s="58"/>
      <c r="T16" s="59">
        <f t="shared" si="3"/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2"/>
        <v>0</v>
      </c>
      <c r="S17" s="58"/>
      <c r="T17" s="59">
        <f t="shared" si="3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2"/>
        <v>0</v>
      </c>
      <c r="S18" s="58"/>
      <c r="T18" s="59">
        <f t="shared" si="3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2"/>
        <v>0</v>
      </c>
      <c r="S19" s="58"/>
      <c r="T19" s="59">
        <f t="shared" si="3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2"/>
        <v>0</v>
      </c>
      <c r="S20" s="58"/>
      <c r="T20" s="59">
        <f t="shared" si="3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2"/>
        <v>0</v>
      </c>
      <c r="S21" s="58"/>
      <c r="T21" s="59">
        <f t="shared" si="3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2"/>
        <v>0</v>
      </c>
      <c r="S22" s="58"/>
      <c r="T22" s="59">
        <f t="shared" si="3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2"/>
        <v>0</v>
      </c>
      <c r="S23" s="58"/>
      <c r="T23" s="59">
        <f t="shared" si="3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2"/>
        <v>0</v>
      </c>
      <c r="S24" s="58"/>
      <c r="T24" s="59">
        <f t="shared" si="3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4518.6208000000006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32760.000800000002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I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223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224</v>
      </c>
      <c r="E11" s="33" t="s">
        <v>85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1105.99</v>
      </c>
      <c r="T11" s="56">
        <f>S11*R11</f>
        <v>1105.99</v>
      </c>
    </row>
    <row r="12" spans="2:25" s="45" customFormat="1" ht="13.5" thickBot="1" x14ac:dyDescent="0.25">
      <c r="B12" s="30"/>
      <c r="C12" s="30"/>
      <c r="D12" s="32" t="s">
        <v>375</v>
      </c>
      <c r="E12" s="33" t="s">
        <v>85</v>
      </c>
      <c r="F12" s="66">
        <v>40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40</v>
      </c>
      <c r="S12" s="58">
        <v>431.03</v>
      </c>
      <c r="T12" s="59">
        <f>+S12*R12</f>
        <v>17241.199999999997</v>
      </c>
    </row>
    <row r="13" spans="2:25" s="45" customFormat="1" ht="36.75" thickBot="1" x14ac:dyDescent="0.25">
      <c r="B13" s="30"/>
      <c r="C13" s="30"/>
      <c r="D13" s="172" t="s">
        <v>583</v>
      </c>
      <c r="E13" s="135" t="s">
        <v>85</v>
      </c>
      <c r="F13" s="173">
        <v>30</v>
      </c>
      <c r="G13" s="134"/>
      <c r="H13" s="135"/>
      <c r="I13" s="134"/>
      <c r="J13" s="135"/>
      <c r="K13" s="134"/>
      <c r="L13" s="135"/>
      <c r="M13" s="134"/>
      <c r="N13" s="135"/>
      <c r="O13" s="134"/>
      <c r="P13" s="134"/>
      <c r="Q13" s="134"/>
      <c r="R13" s="135">
        <f>SUM(F13:Q13)</f>
        <v>30</v>
      </c>
      <c r="S13" s="164">
        <v>2471.2643678160921</v>
      </c>
      <c r="T13" s="138">
        <f>S13*R13</f>
        <v>74137.931034482768</v>
      </c>
    </row>
    <row r="14" spans="2:25" s="45" customFormat="1" x14ac:dyDescent="0.2">
      <c r="B14" s="30"/>
      <c r="C14" s="30"/>
      <c r="D14" s="195" t="s">
        <v>664</v>
      </c>
      <c r="E14" s="202" t="s">
        <v>164</v>
      </c>
      <c r="F14" s="7"/>
      <c r="G14" s="7"/>
      <c r="H14" s="7"/>
      <c r="I14" s="7"/>
      <c r="J14" s="7">
        <v>2</v>
      </c>
      <c r="K14" s="7"/>
      <c r="L14" s="7"/>
      <c r="M14" s="203"/>
      <c r="N14" s="7"/>
      <c r="O14" s="7"/>
      <c r="P14" s="7"/>
      <c r="Q14" s="7"/>
      <c r="R14" s="7">
        <f t="shared" ref="R14:R15" si="0">SUM(F14:Q14)</f>
        <v>2</v>
      </c>
      <c r="S14" s="193">
        <v>1800</v>
      </c>
      <c r="T14" s="15">
        <f>+R14*S14</f>
        <v>3600</v>
      </c>
    </row>
    <row r="15" spans="2:25" s="45" customFormat="1" x14ac:dyDescent="0.2">
      <c r="B15" s="30"/>
      <c r="C15" s="30"/>
      <c r="D15" s="188" t="s">
        <v>665</v>
      </c>
      <c r="E15" s="185" t="s">
        <v>164</v>
      </c>
      <c r="F15" s="7"/>
      <c r="G15" s="7"/>
      <c r="H15" s="7"/>
      <c r="I15" s="7"/>
      <c r="J15" s="7">
        <v>1</v>
      </c>
      <c r="K15" s="7"/>
      <c r="L15" s="7"/>
      <c r="M15" s="201"/>
      <c r="N15" s="7"/>
      <c r="O15" s="7"/>
      <c r="P15" s="7"/>
      <c r="Q15" s="7"/>
      <c r="R15" s="157">
        <f t="shared" si="0"/>
        <v>1</v>
      </c>
      <c r="S15" s="186">
        <v>1500</v>
      </c>
      <c r="T15" s="15">
        <f t="shared" ref="T15" si="1">+R15*S15</f>
        <v>1500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ref="R16:R24" si="2">+SUM(F16:Q16)</f>
        <v>0</v>
      </c>
      <c r="S16" s="58"/>
      <c r="T16" s="59">
        <f t="shared" ref="T16:T24" si="3">+S16*R16</f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2"/>
        <v>0</v>
      </c>
      <c r="S17" s="58"/>
      <c r="T17" s="59">
        <f t="shared" si="3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2"/>
        <v>0</v>
      </c>
      <c r="S18" s="58"/>
      <c r="T18" s="59">
        <f t="shared" si="3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2"/>
        <v>0</v>
      </c>
      <c r="S19" s="58"/>
      <c r="T19" s="59">
        <f t="shared" si="3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2"/>
        <v>0</v>
      </c>
      <c r="S20" s="58"/>
      <c r="T20" s="59">
        <f t="shared" si="3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2"/>
        <v>0</v>
      </c>
      <c r="S21" s="58"/>
      <c r="T21" s="59">
        <f t="shared" si="3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2"/>
        <v>0</v>
      </c>
      <c r="S22" s="58"/>
      <c r="T22" s="59">
        <f t="shared" si="3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2"/>
        <v>0</v>
      </c>
      <c r="S23" s="58"/>
      <c r="T23" s="59">
        <f t="shared" si="3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2"/>
        <v>0</v>
      </c>
      <c r="S24" s="58"/>
      <c r="T24" s="59">
        <f t="shared" si="3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15613.619365517243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113198.74040000001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59"/>
  <sheetViews>
    <sheetView topLeftCell="E1" zoomScale="85" zoomScaleNormal="85" workbookViewId="0">
      <pane ySplit="10" topLeftCell="A40" activePane="bottomLeft" state="frozen"/>
      <selection pane="bottomLeft" activeCell="U65" sqref="U6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customWidth="1"/>
    <col min="7" max="7" width="9" customWidth="1"/>
    <col min="8" max="8" width="9.7109375" customWidth="1"/>
    <col min="9" max="9" width="8.42578125" style="4" customWidth="1"/>
    <col min="10" max="10" width="11.42578125" customWidth="1"/>
    <col min="11" max="11" width="8.7109375" customWidth="1"/>
    <col min="12" max="12" width="9.140625" customWidth="1"/>
    <col min="13" max="13" width="10" customWidth="1"/>
    <col min="14" max="14" width="12.140625" customWidth="1"/>
    <col min="15" max="15" width="10.85546875" style="4" customWidth="1"/>
    <col min="16" max="16" width="11.140625" customWidth="1"/>
    <col min="17" max="17" width="11.5703125" customWidth="1"/>
    <col min="18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s="45" customFormat="1" ht="29.25" customHeight="1" thickBot="1" x14ac:dyDescent="0.25">
      <c r="B10" s="47" t="s">
        <v>0</v>
      </c>
      <c r="C10" s="48" t="s">
        <v>2</v>
      </c>
      <c r="D10" s="48" t="s">
        <v>4</v>
      </c>
      <c r="E10" s="48" t="s">
        <v>3</v>
      </c>
      <c r="F10" s="49" t="s">
        <v>5</v>
      </c>
      <c r="G10" s="49" t="s">
        <v>6</v>
      </c>
      <c r="H10" s="49" t="s">
        <v>7</v>
      </c>
      <c r="I10" s="49" t="s">
        <v>8</v>
      </c>
      <c r="J10" s="48" t="s">
        <v>9</v>
      </c>
      <c r="K10" s="48" t="s">
        <v>10</v>
      </c>
      <c r="L10" s="49" t="s">
        <v>11</v>
      </c>
      <c r="M10" s="48" t="s">
        <v>12</v>
      </c>
      <c r="N10" s="48" t="s">
        <v>13</v>
      </c>
      <c r="O10" s="49" t="s">
        <v>14</v>
      </c>
      <c r="P10" s="49" t="s">
        <v>15</v>
      </c>
      <c r="Q10" s="49" t="s">
        <v>16</v>
      </c>
      <c r="R10" s="48" t="s">
        <v>1</v>
      </c>
      <c r="S10" s="50" t="s">
        <v>20</v>
      </c>
      <c r="T10" s="51" t="s">
        <v>25</v>
      </c>
    </row>
    <row r="11" spans="2:25" s="45" customFormat="1" x14ac:dyDescent="0.2">
      <c r="B11" s="30">
        <v>1</v>
      </c>
      <c r="C11" s="30">
        <v>21106</v>
      </c>
      <c r="D11" s="35" t="s">
        <v>56</v>
      </c>
      <c r="E11" s="30" t="s">
        <v>51</v>
      </c>
      <c r="F11" s="66">
        <v>48</v>
      </c>
      <c r="G11" s="66">
        <v>30</v>
      </c>
      <c r="H11" s="66"/>
      <c r="I11" s="30">
        <v>44</v>
      </c>
      <c r="J11" s="53"/>
      <c r="K11" s="54"/>
      <c r="L11" s="69">
        <v>40</v>
      </c>
      <c r="M11" s="68">
        <v>12</v>
      </c>
      <c r="N11" s="69"/>
      <c r="O11" s="53">
        <v>40</v>
      </c>
      <c r="P11" s="54">
        <v>12</v>
      </c>
      <c r="Q11" s="54"/>
      <c r="R11" s="53">
        <f>SUM(F11:Q11)</f>
        <v>226</v>
      </c>
      <c r="S11" s="55"/>
      <c r="T11" s="56">
        <f>S11*R11</f>
        <v>0</v>
      </c>
    </row>
    <row r="12" spans="2:25" s="45" customFormat="1" x14ac:dyDescent="0.2">
      <c r="B12" s="30">
        <v>2</v>
      </c>
      <c r="C12" s="30">
        <v>21106</v>
      </c>
      <c r="D12" s="35" t="s">
        <v>57</v>
      </c>
      <c r="E12" s="30" t="s">
        <v>52</v>
      </c>
      <c r="F12" s="66">
        <v>12</v>
      </c>
      <c r="G12" s="66">
        <v>20</v>
      </c>
      <c r="H12" s="66"/>
      <c r="I12" s="30">
        <v>15</v>
      </c>
      <c r="J12" s="30"/>
      <c r="K12" s="57"/>
      <c r="L12" s="66">
        <v>20</v>
      </c>
      <c r="M12" s="70"/>
      <c r="N12" s="66"/>
      <c r="O12" s="30">
        <v>10</v>
      </c>
      <c r="P12" s="57"/>
      <c r="Q12" s="57"/>
      <c r="R12" s="30">
        <f>+SUM(F12:Q12)</f>
        <v>77</v>
      </c>
      <c r="S12" s="58">
        <v>18.600000000000001</v>
      </c>
      <c r="T12" s="59">
        <f>+S12*R12</f>
        <v>1432.2</v>
      </c>
    </row>
    <row r="13" spans="2:25" s="45" customFormat="1" x14ac:dyDescent="0.2">
      <c r="B13" s="30">
        <v>3</v>
      </c>
      <c r="C13" s="30">
        <v>21106</v>
      </c>
      <c r="D13" s="35" t="s">
        <v>58</v>
      </c>
      <c r="E13" s="30" t="s">
        <v>51</v>
      </c>
      <c r="F13" s="66">
        <v>15</v>
      </c>
      <c r="G13" s="66">
        <v>2</v>
      </c>
      <c r="H13" s="66"/>
      <c r="I13" s="30">
        <v>5</v>
      </c>
      <c r="J13" s="30"/>
      <c r="K13" s="57"/>
      <c r="L13" s="66">
        <v>10</v>
      </c>
      <c r="M13" s="70"/>
      <c r="N13" s="66"/>
      <c r="O13" s="30">
        <v>2</v>
      </c>
      <c r="P13" s="57"/>
      <c r="Q13" s="57"/>
      <c r="R13" s="30">
        <f>+SUM(F13:Q13)</f>
        <v>34</v>
      </c>
      <c r="S13" s="58">
        <v>21</v>
      </c>
      <c r="T13" s="59">
        <f>+S13*R13</f>
        <v>714</v>
      </c>
    </row>
    <row r="14" spans="2:25" s="45" customFormat="1" ht="25.5" x14ac:dyDescent="0.2">
      <c r="B14" s="30">
        <v>4</v>
      </c>
      <c r="C14" s="30">
        <v>21106</v>
      </c>
      <c r="D14" s="35" t="s">
        <v>59</v>
      </c>
      <c r="E14" s="30" t="s">
        <v>51</v>
      </c>
      <c r="F14" s="66"/>
      <c r="G14" s="66">
        <v>5</v>
      </c>
      <c r="H14" s="66"/>
      <c r="I14" s="30">
        <v>5</v>
      </c>
      <c r="J14" s="30"/>
      <c r="K14" s="57"/>
      <c r="L14" s="66">
        <v>10</v>
      </c>
      <c r="M14" s="70"/>
      <c r="N14" s="66"/>
      <c r="O14" s="30">
        <v>5</v>
      </c>
      <c r="P14" s="57"/>
      <c r="Q14" s="57"/>
      <c r="R14" s="30">
        <f t="shared" ref="R14:R37" si="0">+SUM(F14:Q14)</f>
        <v>25</v>
      </c>
      <c r="S14" s="58"/>
      <c r="T14" s="59">
        <f>+S14*R14</f>
        <v>0</v>
      </c>
    </row>
    <row r="15" spans="2:25" s="45" customFormat="1" x14ac:dyDescent="0.2">
      <c r="B15" s="30">
        <v>5</v>
      </c>
      <c r="C15" s="30">
        <v>21106</v>
      </c>
      <c r="D15" s="35" t="s">
        <v>60</v>
      </c>
      <c r="E15" s="30" t="s">
        <v>53</v>
      </c>
      <c r="F15" s="66">
        <v>18</v>
      </c>
      <c r="G15" s="66">
        <v>10</v>
      </c>
      <c r="H15" s="66"/>
      <c r="I15" s="30">
        <v>26</v>
      </c>
      <c r="J15" s="30"/>
      <c r="K15" s="57"/>
      <c r="L15" s="66">
        <v>20</v>
      </c>
      <c r="M15" s="70">
        <v>26</v>
      </c>
      <c r="N15" s="66"/>
      <c r="O15" s="30">
        <v>0</v>
      </c>
      <c r="P15" s="57">
        <v>26</v>
      </c>
      <c r="Q15" s="57"/>
      <c r="R15" s="30">
        <f t="shared" si="0"/>
        <v>126</v>
      </c>
      <c r="S15" s="58"/>
      <c r="T15" s="59">
        <f t="shared" ref="T15:T59" si="1">+S15*R15</f>
        <v>0</v>
      </c>
    </row>
    <row r="16" spans="2:25" s="45" customFormat="1" x14ac:dyDescent="0.2">
      <c r="B16" s="30">
        <v>6</v>
      </c>
      <c r="C16" s="30">
        <v>21106</v>
      </c>
      <c r="D16" s="36" t="s">
        <v>61</v>
      </c>
      <c r="E16" s="33" t="s">
        <v>51</v>
      </c>
      <c r="F16" s="66">
        <v>60</v>
      </c>
      <c r="G16" s="66">
        <v>5</v>
      </c>
      <c r="H16" s="66"/>
      <c r="I16" s="30">
        <v>10</v>
      </c>
      <c r="J16" s="30"/>
      <c r="K16" s="57"/>
      <c r="L16" s="66">
        <v>10</v>
      </c>
      <c r="M16" s="70"/>
      <c r="N16" s="66"/>
      <c r="O16" s="30">
        <v>5</v>
      </c>
      <c r="P16" s="57"/>
      <c r="Q16" s="57"/>
      <c r="R16" s="30">
        <f t="shared" si="0"/>
        <v>90</v>
      </c>
      <c r="S16" s="58">
        <v>29.34</v>
      </c>
      <c r="T16" s="59">
        <f t="shared" si="1"/>
        <v>2640.6</v>
      </c>
    </row>
    <row r="17" spans="2:20" s="45" customFormat="1" ht="25.5" x14ac:dyDescent="0.2">
      <c r="B17" s="30">
        <v>7</v>
      </c>
      <c r="C17" s="30">
        <v>21106</v>
      </c>
      <c r="D17" s="36" t="s">
        <v>62</v>
      </c>
      <c r="E17" s="33" t="s">
        <v>52</v>
      </c>
      <c r="F17" s="66">
        <v>60</v>
      </c>
      <c r="G17" s="66">
        <f>40+37</f>
        <v>77</v>
      </c>
      <c r="H17" s="66">
        <v>20</v>
      </c>
      <c r="I17" s="30">
        <v>20</v>
      </c>
      <c r="J17" s="30">
        <v>57</v>
      </c>
      <c r="K17" s="57">
        <v>20</v>
      </c>
      <c r="L17" s="66">
        <v>100</v>
      </c>
      <c r="M17" s="70">
        <v>30</v>
      </c>
      <c r="N17" s="66">
        <v>77</v>
      </c>
      <c r="O17" s="30">
        <v>50</v>
      </c>
      <c r="P17" s="57">
        <v>57</v>
      </c>
      <c r="Q17" s="57">
        <v>12</v>
      </c>
      <c r="R17" s="30">
        <f t="shared" si="0"/>
        <v>580</v>
      </c>
      <c r="S17" s="58">
        <v>24.61</v>
      </c>
      <c r="T17" s="59">
        <f t="shared" si="1"/>
        <v>14273.8</v>
      </c>
    </row>
    <row r="18" spans="2:20" s="45" customFormat="1" x14ac:dyDescent="0.2">
      <c r="B18" s="30">
        <v>8</v>
      </c>
      <c r="C18" s="30">
        <v>21106</v>
      </c>
      <c r="D18" s="37" t="s">
        <v>63</v>
      </c>
      <c r="E18" s="33" t="s">
        <v>64</v>
      </c>
      <c r="F18" s="66">
        <v>7</v>
      </c>
      <c r="G18" s="66">
        <v>20</v>
      </c>
      <c r="H18" s="66"/>
      <c r="I18" s="30">
        <v>27</v>
      </c>
      <c r="J18" s="30"/>
      <c r="K18" s="57"/>
      <c r="L18" s="66">
        <v>20</v>
      </c>
      <c r="M18" s="70">
        <v>7</v>
      </c>
      <c r="N18" s="66"/>
      <c r="O18" s="30">
        <v>0</v>
      </c>
      <c r="P18" s="57">
        <v>7</v>
      </c>
      <c r="Q18" s="57"/>
      <c r="R18" s="30">
        <f t="shared" si="0"/>
        <v>88</v>
      </c>
      <c r="S18" s="58">
        <v>11.45</v>
      </c>
      <c r="T18" s="59">
        <f t="shared" si="1"/>
        <v>1007.5999999999999</v>
      </c>
    </row>
    <row r="19" spans="2:20" s="45" customFormat="1" x14ac:dyDescent="0.2">
      <c r="B19" s="30">
        <v>9</v>
      </c>
      <c r="C19" s="30">
        <v>21106</v>
      </c>
      <c r="D19" s="36" t="s">
        <v>107</v>
      </c>
      <c r="E19" s="30" t="s">
        <v>51</v>
      </c>
      <c r="F19" s="66">
        <v>15</v>
      </c>
      <c r="G19" s="66">
        <v>0</v>
      </c>
      <c r="H19" s="66"/>
      <c r="I19" s="30">
        <v>7</v>
      </c>
      <c r="J19" s="30"/>
      <c r="K19" s="57"/>
      <c r="L19" s="66">
        <v>5</v>
      </c>
      <c r="M19" s="70">
        <v>4</v>
      </c>
      <c r="N19" s="66"/>
      <c r="O19" s="30">
        <v>0</v>
      </c>
      <c r="P19" s="57">
        <v>4</v>
      </c>
      <c r="Q19" s="57"/>
      <c r="R19" s="30">
        <f t="shared" si="0"/>
        <v>35</v>
      </c>
      <c r="S19" s="58"/>
      <c r="T19" s="59">
        <f t="shared" si="1"/>
        <v>0</v>
      </c>
    </row>
    <row r="20" spans="2:20" s="45" customFormat="1" x14ac:dyDescent="0.2">
      <c r="B20" s="30">
        <v>10</v>
      </c>
      <c r="C20" s="30">
        <v>21106</v>
      </c>
      <c r="D20" s="35" t="s">
        <v>118</v>
      </c>
      <c r="E20" s="30" t="s">
        <v>51</v>
      </c>
      <c r="F20" s="66">
        <v>25</v>
      </c>
      <c r="G20" s="66">
        <v>0</v>
      </c>
      <c r="H20" s="66"/>
      <c r="I20" s="30">
        <v>16</v>
      </c>
      <c r="J20" s="30"/>
      <c r="K20" s="57"/>
      <c r="L20" s="66">
        <v>10</v>
      </c>
      <c r="M20" s="70">
        <v>16</v>
      </c>
      <c r="N20" s="66"/>
      <c r="O20" s="30">
        <v>0</v>
      </c>
      <c r="P20" s="57">
        <v>16</v>
      </c>
      <c r="Q20" s="57"/>
      <c r="R20" s="30">
        <f t="shared" si="0"/>
        <v>83</v>
      </c>
      <c r="S20" s="58">
        <v>9.4499999999999993</v>
      </c>
      <c r="T20" s="59">
        <f t="shared" si="1"/>
        <v>784.34999999999991</v>
      </c>
    </row>
    <row r="21" spans="2:20" s="45" customFormat="1" x14ac:dyDescent="0.2">
      <c r="B21" s="30">
        <v>11</v>
      </c>
      <c r="C21" s="30">
        <v>21106</v>
      </c>
      <c r="D21" s="31" t="s">
        <v>119</v>
      </c>
      <c r="E21" s="30" t="s">
        <v>51</v>
      </c>
      <c r="F21" s="66">
        <v>28</v>
      </c>
      <c r="G21" s="66">
        <v>0</v>
      </c>
      <c r="H21" s="66"/>
      <c r="I21" s="30">
        <v>3</v>
      </c>
      <c r="J21" s="30"/>
      <c r="K21" s="57"/>
      <c r="L21" s="66">
        <v>5</v>
      </c>
      <c r="M21" s="70">
        <v>3</v>
      </c>
      <c r="N21" s="66"/>
      <c r="O21" s="30">
        <v>0</v>
      </c>
      <c r="P21" s="57">
        <v>7</v>
      </c>
      <c r="Q21" s="57"/>
      <c r="R21" s="30">
        <f t="shared" si="0"/>
        <v>46</v>
      </c>
      <c r="S21" s="58">
        <v>21</v>
      </c>
      <c r="T21" s="59">
        <f t="shared" si="1"/>
        <v>966</v>
      </c>
    </row>
    <row r="22" spans="2:20" s="45" customFormat="1" ht="25.5" x14ac:dyDescent="0.2">
      <c r="B22" s="30">
        <v>12</v>
      </c>
      <c r="C22" s="30">
        <v>21106</v>
      </c>
      <c r="D22" s="36" t="s">
        <v>120</v>
      </c>
      <c r="E22" s="33" t="s">
        <v>52</v>
      </c>
      <c r="F22" s="66">
        <v>60</v>
      </c>
      <c r="G22" s="66">
        <v>37</v>
      </c>
      <c r="H22" s="66"/>
      <c r="I22" s="30">
        <v>13</v>
      </c>
      <c r="J22" s="30">
        <v>37</v>
      </c>
      <c r="K22" s="57"/>
      <c r="L22" s="66">
        <v>20</v>
      </c>
      <c r="M22" s="70">
        <f>13+37</f>
        <v>50</v>
      </c>
      <c r="N22" s="66"/>
      <c r="O22" s="30">
        <v>0</v>
      </c>
      <c r="P22" s="57">
        <f>13+37</f>
        <v>50</v>
      </c>
      <c r="Q22" s="57"/>
      <c r="R22" s="30">
        <f t="shared" si="0"/>
        <v>267</v>
      </c>
      <c r="S22" s="58">
        <v>24.61</v>
      </c>
      <c r="T22" s="59">
        <f t="shared" si="1"/>
        <v>6570.87</v>
      </c>
    </row>
    <row r="23" spans="2:20" s="45" customFormat="1" x14ac:dyDescent="0.2">
      <c r="B23" s="30">
        <v>13</v>
      </c>
      <c r="C23" s="30">
        <v>21106</v>
      </c>
      <c r="D23" s="36" t="s">
        <v>157</v>
      </c>
      <c r="E23" s="33" t="s">
        <v>53</v>
      </c>
      <c r="F23" s="66"/>
      <c r="G23" s="66">
        <f>1+3</f>
        <v>4</v>
      </c>
      <c r="H23" s="66"/>
      <c r="I23" s="30"/>
      <c r="J23" s="30"/>
      <c r="K23" s="57">
        <v>10</v>
      </c>
      <c r="L23" s="66"/>
      <c r="M23" s="70"/>
      <c r="N23" s="66"/>
      <c r="O23" s="30"/>
      <c r="P23" s="57"/>
      <c r="Q23" s="57"/>
      <c r="R23" s="30">
        <f t="shared" si="0"/>
        <v>14</v>
      </c>
      <c r="S23" s="58">
        <v>78.45</v>
      </c>
      <c r="T23" s="59">
        <f t="shared" si="1"/>
        <v>1098.3</v>
      </c>
    </row>
    <row r="24" spans="2:20" s="45" customFormat="1" x14ac:dyDescent="0.2">
      <c r="B24" s="30">
        <v>14</v>
      </c>
      <c r="C24" s="30">
        <v>21106</v>
      </c>
      <c r="D24" s="36" t="s">
        <v>238</v>
      </c>
      <c r="E24" s="33" t="s">
        <v>85</v>
      </c>
      <c r="F24" s="66"/>
      <c r="G24" s="66"/>
      <c r="H24" s="66">
        <v>12</v>
      </c>
      <c r="I24" s="30"/>
      <c r="J24" s="30"/>
      <c r="K24" s="57"/>
      <c r="L24" s="66">
        <v>6</v>
      </c>
      <c r="M24" s="70"/>
      <c r="N24" s="66"/>
      <c r="O24" s="30"/>
      <c r="P24" s="57"/>
      <c r="Q24" s="57"/>
      <c r="R24" s="30">
        <f t="shared" si="0"/>
        <v>18</v>
      </c>
      <c r="S24" s="58">
        <v>47.4</v>
      </c>
      <c r="T24" s="59">
        <f t="shared" si="1"/>
        <v>853.19999999999993</v>
      </c>
    </row>
    <row r="25" spans="2:20" s="45" customFormat="1" x14ac:dyDescent="0.2">
      <c r="B25" s="30">
        <v>15</v>
      </c>
      <c r="C25" s="30">
        <v>21106</v>
      </c>
      <c r="D25" s="36" t="s">
        <v>267</v>
      </c>
      <c r="E25" s="33" t="s">
        <v>51</v>
      </c>
      <c r="F25" s="66"/>
      <c r="G25" s="66"/>
      <c r="H25" s="66"/>
      <c r="I25" s="30">
        <v>4</v>
      </c>
      <c r="J25" s="30"/>
      <c r="K25" s="57"/>
      <c r="L25" s="66"/>
      <c r="M25" s="70"/>
      <c r="N25" s="66"/>
      <c r="O25" s="30"/>
      <c r="P25" s="57"/>
      <c r="Q25" s="57"/>
      <c r="R25" s="30">
        <f t="shared" si="0"/>
        <v>4</v>
      </c>
      <c r="S25" s="58">
        <v>653.19000000000005</v>
      </c>
      <c r="T25" s="59">
        <f t="shared" si="1"/>
        <v>2612.7600000000002</v>
      </c>
    </row>
    <row r="26" spans="2:20" s="45" customFormat="1" x14ac:dyDescent="0.2">
      <c r="B26" s="30">
        <v>16</v>
      </c>
      <c r="C26" s="30">
        <v>21106</v>
      </c>
      <c r="D26" s="36" t="s">
        <v>268</v>
      </c>
      <c r="E26" s="33" t="s">
        <v>51</v>
      </c>
      <c r="F26" s="66">
        <v>6</v>
      </c>
      <c r="G26" s="66">
        <v>2</v>
      </c>
      <c r="H26" s="66"/>
      <c r="I26" s="30">
        <v>2</v>
      </c>
      <c r="J26" s="30"/>
      <c r="K26" s="57"/>
      <c r="L26" s="66"/>
      <c r="M26" s="70"/>
      <c r="N26" s="66"/>
      <c r="O26" s="30"/>
      <c r="P26" s="57"/>
      <c r="Q26" s="57"/>
      <c r="R26" s="30">
        <f t="shared" si="0"/>
        <v>10</v>
      </c>
      <c r="S26" s="58">
        <v>861.91</v>
      </c>
      <c r="T26" s="59">
        <f t="shared" si="1"/>
        <v>8619.1</v>
      </c>
    </row>
    <row r="27" spans="2:20" s="45" customFormat="1" x14ac:dyDescent="0.2">
      <c r="B27" s="30">
        <v>17</v>
      </c>
      <c r="C27" s="30">
        <v>21106</v>
      </c>
      <c r="D27" s="36" t="s">
        <v>269</v>
      </c>
      <c r="E27" s="33" t="s">
        <v>51</v>
      </c>
      <c r="F27" s="66">
        <v>25</v>
      </c>
      <c r="G27" s="66">
        <v>2</v>
      </c>
      <c r="H27" s="66"/>
      <c r="I27" s="30">
        <v>19</v>
      </c>
      <c r="J27" s="30"/>
      <c r="K27" s="57"/>
      <c r="L27" s="66"/>
      <c r="M27" s="70">
        <v>10</v>
      </c>
      <c r="N27" s="66">
        <v>1</v>
      </c>
      <c r="O27" s="30"/>
      <c r="P27" s="57">
        <v>10</v>
      </c>
      <c r="Q27" s="57"/>
      <c r="R27" s="30">
        <f t="shared" si="0"/>
        <v>67</v>
      </c>
      <c r="S27" s="58">
        <v>141.63999999999999</v>
      </c>
      <c r="T27" s="59">
        <f t="shared" si="1"/>
        <v>9489.8799999999992</v>
      </c>
    </row>
    <row r="28" spans="2:20" s="45" customFormat="1" x14ac:dyDescent="0.2">
      <c r="B28" s="30">
        <v>18</v>
      </c>
      <c r="C28" s="30">
        <v>21106</v>
      </c>
      <c r="D28" s="36" t="s">
        <v>270</v>
      </c>
      <c r="E28" s="33" t="s">
        <v>51</v>
      </c>
      <c r="F28" s="66">
        <v>18</v>
      </c>
      <c r="G28" s="66"/>
      <c r="H28" s="66"/>
      <c r="I28" s="30">
        <v>7</v>
      </c>
      <c r="J28" s="30"/>
      <c r="K28" s="57"/>
      <c r="L28" s="66"/>
      <c r="M28" s="70"/>
      <c r="N28" s="66">
        <v>2</v>
      </c>
      <c r="O28" s="30"/>
      <c r="P28" s="57"/>
      <c r="Q28" s="57"/>
      <c r="R28" s="30">
        <f t="shared" si="0"/>
        <v>27</v>
      </c>
      <c r="S28" s="58">
        <v>185.39</v>
      </c>
      <c r="T28" s="59">
        <f t="shared" si="1"/>
        <v>5005.53</v>
      </c>
    </row>
    <row r="29" spans="2:20" s="45" customFormat="1" x14ac:dyDescent="0.2">
      <c r="B29" s="30">
        <v>19</v>
      </c>
      <c r="C29" s="30">
        <v>21106</v>
      </c>
      <c r="D29" s="36" t="s">
        <v>271</v>
      </c>
      <c r="E29" s="33" t="s">
        <v>51</v>
      </c>
      <c r="F29" s="66">
        <v>20</v>
      </c>
      <c r="G29" s="66">
        <v>1</v>
      </c>
      <c r="H29" s="66"/>
      <c r="I29" s="30">
        <v>9</v>
      </c>
      <c r="J29" s="30">
        <v>1</v>
      </c>
      <c r="K29" s="57"/>
      <c r="L29" s="66"/>
      <c r="M29" s="70">
        <v>6</v>
      </c>
      <c r="N29" s="66"/>
      <c r="O29" s="30"/>
      <c r="P29" s="57">
        <v>6</v>
      </c>
      <c r="Q29" s="57"/>
      <c r="R29" s="30">
        <f t="shared" si="0"/>
        <v>43</v>
      </c>
      <c r="S29" s="58">
        <v>53.6</v>
      </c>
      <c r="T29" s="59">
        <f t="shared" si="1"/>
        <v>2304.8000000000002</v>
      </c>
    </row>
    <row r="30" spans="2:20" s="45" customFormat="1" x14ac:dyDescent="0.2">
      <c r="B30" s="30">
        <v>20</v>
      </c>
      <c r="C30" s="30">
        <v>21106</v>
      </c>
      <c r="D30" s="36" t="s">
        <v>272</v>
      </c>
      <c r="E30" s="33" t="s">
        <v>51</v>
      </c>
      <c r="F30" s="66">
        <v>20</v>
      </c>
      <c r="G30" s="66">
        <v>1</v>
      </c>
      <c r="H30" s="66"/>
      <c r="I30" s="30">
        <v>10</v>
      </c>
      <c r="J30" s="30">
        <v>1</v>
      </c>
      <c r="K30" s="57"/>
      <c r="L30" s="66"/>
      <c r="M30" s="70">
        <v>6</v>
      </c>
      <c r="N30" s="66"/>
      <c r="O30" s="30"/>
      <c r="P30" s="57">
        <v>6</v>
      </c>
      <c r="Q30" s="57"/>
      <c r="R30" s="30">
        <f t="shared" si="0"/>
        <v>44</v>
      </c>
      <c r="S30" s="58">
        <v>86.8</v>
      </c>
      <c r="T30" s="59">
        <f t="shared" si="1"/>
        <v>3819.2</v>
      </c>
    </row>
    <row r="31" spans="2:20" s="45" customFormat="1" x14ac:dyDescent="0.2">
      <c r="B31" s="30">
        <v>21</v>
      </c>
      <c r="C31" s="30">
        <v>21106</v>
      </c>
      <c r="D31" s="36" t="s">
        <v>273</v>
      </c>
      <c r="E31" s="33" t="s">
        <v>85</v>
      </c>
      <c r="F31" s="66">
        <v>32</v>
      </c>
      <c r="G31" s="66"/>
      <c r="H31" s="66"/>
      <c r="I31" s="30">
        <v>25</v>
      </c>
      <c r="J31" s="30"/>
      <c r="K31" s="57"/>
      <c r="L31" s="66"/>
      <c r="M31" s="70"/>
      <c r="N31" s="66"/>
      <c r="O31" s="30"/>
      <c r="P31" s="57"/>
      <c r="Q31" s="57"/>
      <c r="R31" s="30">
        <f t="shared" si="0"/>
        <v>57</v>
      </c>
      <c r="S31" s="58">
        <v>23.52</v>
      </c>
      <c r="T31" s="59">
        <f t="shared" si="1"/>
        <v>1340.6399999999999</v>
      </c>
    </row>
    <row r="32" spans="2:20" s="45" customFormat="1" x14ac:dyDescent="0.2">
      <c r="B32" s="30">
        <v>22</v>
      </c>
      <c r="C32" s="30">
        <v>21106</v>
      </c>
      <c r="D32" s="36" t="s">
        <v>274</v>
      </c>
      <c r="E32" s="33" t="s">
        <v>85</v>
      </c>
      <c r="F32" s="66">
        <v>3</v>
      </c>
      <c r="G32" s="66"/>
      <c r="H32" s="66"/>
      <c r="I32" s="30">
        <v>20</v>
      </c>
      <c r="J32" s="30"/>
      <c r="K32" s="57"/>
      <c r="L32" s="66"/>
      <c r="M32" s="70"/>
      <c r="N32" s="66"/>
      <c r="O32" s="30"/>
      <c r="P32" s="57"/>
      <c r="Q32" s="57"/>
      <c r="R32" s="30">
        <f t="shared" si="0"/>
        <v>23</v>
      </c>
      <c r="S32" s="58">
        <v>27.08</v>
      </c>
      <c r="T32" s="59">
        <f t="shared" si="1"/>
        <v>622.83999999999992</v>
      </c>
    </row>
    <row r="33" spans="2:20" s="45" customFormat="1" ht="25.5" x14ac:dyDescent="0.2">
      <c r="B33" s="30"/>
      <c r="C33" s="30"/>
      <c r="D33" s="36" t="s">
        <v>417</v>
      </c>
      <c r="E33" s="33" t="s">
        <v>85</v>
      </c>
      <c r="F33" s="66">
        <v>7</v>
      </c>
      <c r="G33" s="66">
        <v>1</v>
      </c>
      <c r="H33" s="66">
        <v>12</v>
      </c>
      <c r="I33" s="30">
        <v>15</v>
      </c>
      <c r="J33" s="30">
        <v>1</v>
      </c>
      <c r="K33" s="57">
        <v>3</v>
      </c>
      <c r="L33" s="66"/>
      <c r="M33" s="70">
        <v>1</v>
      </c>
      <c r="N33" s="66"/>
      <c r="O33" s="30"/>
      <c r="P33" s="57">
        <v>8</v>
      </c>
      <c r="Q33" s="57"/>
      <c r="R33" s="30">
        <f t="shared" si="0"/>
        <v>48</v>
      </c>
      <c r="S33" s="58">
        <v>26</v>
      </c>
      <c r="T33" s="59">
        <f t="shared" si="1"/>
        <v>1248</v>
      </c>
    </row>
    <row r="34" spans="2:20" s="45" customFormat="1" x14ac:dyDescent="0.2">
      <c r="B34" s="30"/>
      <c r="C34" s="30"/>
      <c r="D34" s="36" t="s">
        <v>418</v>
      </c>
      <c r="E34" s="33" t="s">
        <v>85</v>
      </c>
      <c r="F34" s="66">
        <v>4</v>
      </c>
      <c r="G34" s="66">
        <v>37</v>
      </c>
      <c r="H34" s="66"/>
      <c r="I34" s="30">
        <v>4</v>
      </c>
      <c r="J34" s="30">
        <v>37</v>
      </c>
      <c r="K34" s="57"/>
      <c r="L34" s="66"/>
      <c r="M34" s="70">
        <v>41</v>
      </c>
      <c r="N34" s="66"/>
      <c r="O34" s="30"/>
      <c r="P34" s="57">
        <v>41</v>
      </c>
      <c r="Q34" s="57"/>
      <c r="R34" s="30">
        <f t="shared" si="0"/>
        <v>164</v>
      </c>
      <c r="S34" s="58">
        <v>74</v>
      </c>
      <c r="T34" s="59">
        <f t="shared" si="1"/>
        <v>12136</v>
      </c>
    </row>
    <row r="35" spans="2:20" s="45" customFormat="1" ht="25.5" x14ac:dyDescent="0.2">
      <c r="B35" s="30"/>
      <c r="C35" s="30"/>
      <c r="D35" s="36" t="s">
        <v>419</v>
      </c>
      <c r="E35" s="33" t="s">
        <v>85</v>
      </c>
      <c r="F35" s="66">
        <v>8</v>
      </c>
      <c r="G35" s="66">
        <v>11</v>
      </c>
      <c r="H35" s="66"/>
      <c r="I35" s="30">
        <v>8</v>
      </c>
      <c r="J35" s="30">
        <v>11</v>
      </c>
      <c r="K35" s="57"/>
      <c r="L35" s="66"/>
      <c r="M35" s="70">
        <v>19</v>
      </c>
      <c r="N35" s="66"/>
      <c r="O35" s="30"/>
      <c r="P35" s="57">
        <v>19</v>
      </c>
      <c r="Q35" s="57"/>
      <c r="R35" s="30">
        <f t="shared" si="0"/>
        <v>76</v>
      </c>
      <c r="S35" s="58">
        <v>61</v>
      </c>
      <c r="T35" s="59">
        <f t="shared" si="1"/>
        <v>4636</v>
      </c>
    </row>
    <row r="36" spans="2:20" s="45" customFormat="1" x14ac:dyDescent="0.2">
      <c r="B36" s="30"/>
      <c r="C36" s="30"/>
      <c r="D36" s="36" t="s">
        <v>420</v>
      </c>
      <c r="E36" s="33" t="s">
        <v>85</v>
      </c>
      <c r="F36" s="66">
        <v>10</v>
      </c>
      <c r="G36" s="66">
        <v>2</v>
      </c>
      <c r="H36" s="66"/>
      <c r="I36" s="30">
        <v>10</v>
      </c>
      <c r="J36" s="30">
        <v>2</v>
      </c>
      <c r="K36" s="57"/>
      <c r="L36" s="66"/>
      <c r="M36" s="70">
        <v>12</v>
      </c>
      <c r="N36" s="66"/>
      <c r="O36" s="30"/>
      <c r="P36" s="57">
        <v>12</v>
      </c>
      <c r="Q36" s="57"/>
      <c r="R36" s="30">
        <f t="shared" si="0"/>
        <v>48</v>
      </c>
      <c r="S36" s="58">
        <v>196</v>
      </c>
      <c r="T36" s="59">
        <f t="shared" si="1"/>
        <v>9408</v>
      </c>
    </row>
    <row r="37" spans="2:20" s="45" customFormat="1" ht="25.5" x14ac:dyDescent="0.2">
      <c r="B37" s="30"/>
      <c r="C37" s="30"/>
      <c r="D37" s="36" t="s">
        <v>421</v>
      </c>
      <c r="E37" s="33" t="s">
        <v>85</v>
      </c>
      <c r="F37" s="66">
        <v>1</v>
      </c>
      <c r="G37" s="66">
        <v>5</v>
      </c>
      <c r="H37" s="66"/>
      <c r="I37" s="30">
        <v>1</v>
      </c>
      <c r="J37" s="30">
        <v>5</v>
      </c>
      <c r="K37" s="57"/>
      <c r="L37" s="66"/>
      <c r="M37" s="70">
        <v>6</v>
      </c>
      <c r="N37" s="66"/>
      <c r="O37" s="30"/>
      <c r="P37" s="57">
        <v>6</v>
      </c>
      <c r="Q37" s="57"/>
      <c r="R37" s="30">
        <f t="shared" si="0"/>
        <v>24</v>
      </c>
      <c r="S37" s="58">
        <v>20</v>
      </c>
      <c r="T37" s="59">
        <f t="shared" si="1"/>
        <v>480</v>
      </c>
    </row>
    <row r="38" spans="2:20" s="45" customFormat="1" x14ac:dyDescent="0.2">
      <c r="B38" s="30"/>
      <c r="C38" s="30"/>
      <c r="D38" s="31" t="s">
        <v>755</v>
      </c>
      <c r="E38" s="30" t="s">
        <v>53</v>
      </c>
      <c r="F38" s="66"/>
      <c r="G38" s="66">
        <v>5</v>
      </c>
      <c r="H38" s="66"/>
      <c r="I38" s="30">
        <v>5</v>
      </c>
      <c r="J38" s="30"/>
      <c r="K38" s="30"/>
      <c r="L38" s="66">
        <v>5</v>
      </c>
      <c r="M38" s="70"/>
      <c r="N38" s="66"/>
      <c r="O38" s="30">
        <v>5</v>
      </c>
      <c r="P38" s="57"/>
      <c r="Q38" s="57"/>
      <c r="R38" s="30">
        <f t="shared" ref="R38:R41" si="2">+SUM(F38:Q38)</f>
        <v>20</v>
      </c>
      <c r="S38" s="95">
        <v>27.17</v>
      </c>
      <c r="T38" s="59">
        <f t="shared" si="1"/>
        <v>543.40000000000009</v>
      </c>
    </row>
    <row r="39" spans="2:20" s="45" customFormat="1" x14ac:dyDescent="0.2">
      <c r="B39" s="222"/>
      <c r="C39" s="30"/>
      <c r="D39" s="31" t="s">
        <v>756</v>
      </c>
      <c r="E39" s="30" t="s">
        <v>53</v>
      </c>
      <c r="F39" s="66"/>
      <c r="G39" s="66">
        <v>3</v>
      </c>
      <c r="H39" s="66"/>
      <c r="I39" s="30">
        <v>5</v>
      </c>
      <c r="J39" s="30"/>
      <c r="K39" s="30"/>
      <c r="L39" s="66">
        <v>3</v>
      </c>
      <c r="M39" s="70"/>
      <c r="N39" s="66"/>
      <c r="O39" s="30">
        <v>5</v>
      </c>
      <c r="P39" s="57"/>
      <c r="Q39" s="57"/>
      <c r="R39" s="30">
        <f t="shared" si="2"/>
        <v>16</v>
      </c>
      <c r="S39" s="95">
        <v>29.26</v>
      </c>
      <c r="T39" s="59">
        <f t="shared" si="1"/>
        <v>468.16</v>
      </c>
    </row>
    <row r="40" spans="2:20" x14ac:dyDescent="0.2">
      <c r="B40" s="7"/>
      <c r="C40" s="7"/>
      <c r="D40" s="31" t="s">
        <v>757</v>
      </c>
      <c r="E40" s="30" t="s">
        <v>52</v>
      </c>
      <c r="F40" s="66"/>
      <c r="G40" s="66">
        <v>3</v>
      </c>
      <c r="H40" s="66"/>
      <c r="I40" s="30">
        <v>3</v>
      </c>
      <c r="J40" s="30"/>
      <c r="K40" s="30"/>
      <c r="L40" s="66">
        <v>3</v>
      </c>
      <c r="M40" s="70"/>
      <c r="N40" s="66"/>
      <c r="O40" s="30">
        <v>3</v>
      </c>
      <c r="P40" s="57"/>
      <c r="Q40" s="57"/>
      <c r="R40" s="30">
        <f t="shared" si="2"/>
        <v>12</v>
      </c>
      <c r="S40" s="95">
        <v>23.18</v>
      </c>
      <c r="T40" s="59">
        <f t="shared" si="1"/>
        <v>278.15999999999997</v>
      </c>
    </row>
    <row r="41" spans="2:20" x14ac:dyDescent="0.2">
      <c r="B41" s="7"/>
      <c r="C41" s="7"/>
      <c r="D41" s="31" t="s">
        <v>758</v>
      </c>
      <c r="E41" s="30" t="s">
        <v>52</v>
      </c>
      <c r="F41" s="66"/>
      <c r="G41" s="66">
        <v>5</v>
      </c>
      <c r="H41" s="66"/>
      <c r="I41" s="30">
        <v>5</v>
      </c>
      <c r="J41" s="30"/>
      <c r="K41" s="30"/>
      <c r="L41" s="66">
        <v>5</v>
      </c>
      <c r="M41" s="70"/>
      <c r="N41" s="66"/>
      <c r="O41" s="30">
        <v>5</v>
      </c>
      <c r="P41" s="57"/>
      <c r="Q41" s="57"/>
      <c r="R41" s="30">
        <f t="shared" si="2"/>
        <v>20</v>
      </c>
      <c r="S41" s="95">
        <v>55.97</v>
      </c>
      <c r="T41" s="59">
        <f t="shared" si="1"/>
        <v>1119.4000000000001</v>
      </c>
    </row>
    <row r="42" spans="2:20" x14ac:dyDescent="0.2">
      <c r="B42" s="7"/>
      <c r="C42" s="7"/>
      <c r="D42" s="31" t="s">
        <v>759</v>
      </c>
      <c r="E42" s="30" t="s">
        <v>52</v>
      </c>
      <c r="F42" s="66"/>
      <c r="G42" s="66">
        <v>3</v>
      </c>
      <c r="H42" s="66"/>
      <c r="I42" s="30">
        <v>4</v>
      </c>
      <c r="J42" s="30"/>
      <c r="K42" s="30"/>
      <c r="L42" s="66">
        <v>5</v>
      </c>
      <c r="M42" s="70"/>
      <c r="N42" s="66"/>
      <c r="O42" s="30">
        <v>10</v>
      </c>
      <c r="P42" s="57"/>
      <c r="Q42" s="57"/>
      <c r="R42" s="30">
        <f>SUM(G42:Q42)</f>
        <v>22</v>
      </c>
      <c r="S42" s="95">
        <v>34.69</v>
      </c>
      <c r="T42" s="59">
        <f t="shared" si="1"/>
        <v>763.18</v>
      </c>
    </row>
    <row r="43" spans="2:20" x14ac:dyDescent="0.2">
      <c r="B43" s="7"/>
      <c r="C43" s="7"/>
      <c r="D43" s="31" t="s">
        <v>760</v>
      </c>
      <c r="E43" s="30" t="s">
        <v>52</v>
      </c>
      <c r="F43" s="66"/>
      <c r="G43" s="66">
        <v>3</v>
      </c>
      <c r="H43" s="66"/>
      <c r="I43" s="30">
        <v>3</v>
      </c>
      <c r="J43" s="30"/>
      <c r="K43" s="30"/>
      <c r="L43" s="66">
        <v>3</v>
      </c>
      <c r="M43" s="70"/>
      <c r="N43" s="66"/>
      <c r="O43" s="30">
        <v>4</v>
      </c>
      <c r="P43" s="57"/>
      <c r="Q43" s="57"/>
      <c r="R43" s="30">
        <f>+SUM(F43:Q43)</f>
        <v>13</v>
      </c>
      <c r="S43" s="95">
        <v>22.25</v>
      </c>
      <c r="T43" s="59">
        <f t="shared" si="1"/>
        <v>289.25</v>
      </c>
    </row>
    <row r="44" spans="2:20" x14ac:dyDescent="0.2">
      <c r="B44" s="7"/>
      <c r="C44" s="7"/>
      <c r="D44" s="31" t="s">
        <v>761</v>
      </c>
      <c r="E44" s="30" t="s">
        <v>52</v>
      </c>
      <c r="F44" s="66"/>
      <c r="G44" s="66">
        <v>2</v>
      </c>
      <c r="H44" s="66"/>
      <c r="I44" s="30">
        <v>2</v>
      </c>
      <c r="J44" s="30"/>
      <c r="K44" s="30"/>
      <c r="L44" s="66">
        <v>2</v>
      </c>
      <c r="M44" s="70"/>
      <c r="N44" s="66"/>
      <c r="O44" s="30">
        <v>5</v>
      </c>
      <c r="P44" s="57"/>
      <c r="Q44" s="57"/>
      <c r="R44" s="30">
        <f>+SUM(F44:Q44)</f>
        <v>11</v>
      </c>
      <c r="S44" s="95">
        <v>32.39</v>
      </c>
      <c r="T44" s="59">
        <f t="shared" si="1"/>
        <v>356.29</v>
      </c>
    </row>
    <row r="45" spans="2:20" x14ac:dyDescent="0.2">
      <c r="B45" s="8"/>
      <c r="C45" s="8"/>
      <c r="D45" s="43" t="s">
        <v>181</v>
      </c>
      <c r="E45" s="44" t="s">
        <v>51</v>
      </c>
      <c r="F45" s="67"/>
      <c r="G45" s="67">
        <v>10</v>
      </c>
      <c r="H45" s="67"/>
      <c r="I45" s="44">
        <v>6</v>
      </c>
      <c r="J45" s="44">
        <v>5</v>
      </c>
      <c r="K45" s="44"/>
      <c r="L45" s="67">
        <v>6</v>
      </c>
      <c r="M45" s="71">
        <v>5</v>
      </c>
      <c r="N45" s="67"/>
      <c r="O45" s="44">
        <v>6</v>
      </c>
      <c r="P45" s="60">
        <v>5</v>
      </c>
      <c r="Q45" s="60"/>
      <c r="R45" s="30">
        <f t="shared" ref="R45:R59" si="3">+SUM(F45:Q45)</f>
        <v>43</v>
      </c>
      <c r="S45" s="96">
        <v>605.15</v>
      </c>
      <c r="T45" s="59">
        <f t="shared" si="1"/>
        <v>26021.45</v>
      </c>
    </row>
    <row r="46" spans="2:20" x14ac:dyDescent="0.2">
      <c r="B46" s="8"/>
      <c r="C46" s="8"/>
      <c r="D46" s="43" t="s">
        <v>182</v>
      </c>
      <c r="E46" s="44" t="s">
        <v>51</v>
      </c>
      <c r="F46" s="67"/>
      <c r="G46" s="67">
        <v>8</v>
      </c>
      <c r="H46" s="67">
        <v>2</v>
      </c>
      <c r="I46" s="44"/>
      <c r="J46" s="44">
        <v>7</v>
      </c>
      <c r="K46" s="44"/>
      <c r="L46" s="67">
        <v>5</v>
      </c>
      <c r="M46" s="71">
        <v>5</v>
      </c>
      <c r="N46" s="67">
        <v>2</v>
      </c>
      <c r="O46" s="44">
        <v>5</v>
      </c>
      <c r="P46" s="60"/>
      <c r="Q46" s="60">
        <v>5</v>
      </c>
      <c r="R46" s="30">
        <f t="shared" si="3"/>
        <v>39</v>
      </c>
      <c r="S46" s="96">
        <v>88.23</v>
      </c>
      <c r="T46" s="59">
        <f t="shared" si="1"/>
        <v>3440.9700000000003</v>
      </c>
    </row>
    <row r="47" spans="2:20" x14ac:dyDescent="0.2">
      <c r="B47" s="106"/>
      <c r="C47" s="106"/>
      <c r="D47" s="43" t="s">
        <v>183</v>
      </c>
      <c r="E47" s="44" t="s">
        <v>51</v>
      </c>
      <c r="F47" s="66"/>
      <c r="G47" s="66">
        <v>8</v>
      </c>
      <c r="H47" s="66">
        <v>1</v>
      </c>
      <c r="I47" s="30"/>
      <c r="J47" s="30">
        <v>5</v>
      </c>
      <c r="K47" s="30"/>
      <c r="L47" s="66">
        <v>5</v>
      </c>
      <c r="M47" s="70">
        <v>5</v>
      </c>
      <c r="N47" s="66"/>
      <c r="O47" s="30">
        <v>5</v>
      </c>
      <c r="P47" s="57">
        <v>5</v>
      </c>
      <c r="Q47" s="57"/>
      <c r="R47" s="30">
        <f t="shared" si="3"/>
        <v>34</v>
      </c>
      <c r="S47" s="95">
        <v>105.8</v>
      </c>
      <c r="T47" s="95">
        <f t="shared" si="1"/>
        <v>3597.2</v>
      </c>
    </row>
    <row r="48" spans="2:20" x14ac:dyDescent="0.2">
      <c r="B48" s="106"/>
      <c r="C48" s="106"/>
      <c r="D48" s="38" t="s">
        <v>184</v>
      </c>
      <c r="E48" s="30" t="s">
        <v>51</v>
      </c>
      <c r="F48" s="66"/>
      <c r="G48" s="66">
        <v>10</v>
      </c>
      <c r="H48" s="66">
        <v>2</v>
      </c>
      <c r="I48" s="30"/>
      <c r="J48" s="30">
        <v>5</v>
      </c>
      <c r="K48" s="30"/>
      <c r="L48" s="66">
        <v>5</v>
      </c>
      <c r="M48" s="70">
        <v>5</v>
      </c>
      <c r="N48" s="66"/>
      <c r="O48" s="30">
        <v>4</v>
      </c>
      <c r="P48" s="57">
        <v>5</v>
      </c>
      <c r="Q48" s="57"/>
      <c r="R48" s="30">
        <f>SUM(G48:Q48)</f>
        <v>36</v>
      </c>
      <c r="S48" s="95">
        <v>838.53</v>
      </c>
      <c r="T48" s="95">
        <f t="shared" si="1"/>
        <v>30187.079999999998</v>
      </c>
    </row>
    <row r="49" spans="2:20" x14ac:dyDescent="0.2">
      <c r="B49" s="106"/>
      <c r="C49" s="106"/>
      <c r="D49" s="288" t="s">
        <v>800</v>
      </c>
      <c r="E49" s="33" t="s">
        <v>85</v>
      </c>
      <c r="F49" s="106"/>
      <c r="G49" s="66">
        <v>1</v>
      </c>
      <c r="H49" s="106"/>
      <c r="I49" s="107"/>
      <c r="J49" s="33">
        <v>1</v>
      </c>
      <c r="K49" s="106"/>
      <c r="L49" s="106"/>
      <c r="M49" s="70">
        <v>1</v>
      </c>
      <c r="N49" s="106"/>
      <c r="O49" s="107"/>
      <c r="P49" s="289">
        <v>1</v>
      </c>
      <c r="Q49" s="106"/>
      <c r="R49" s="30">
        <f t="shared" si="3"/>
        <v>4</v>
      </c>
      <c r="S49" s="290">
        <v>11.6</v>
      </c>
      <c r="T49" s="95">
        <f t="shared" si="1"/>
        <v>46.4</v>
      </c>
    </row>
    <row r="50" spans="2:20" x14ac:dyDescent="0.2">
      <c r="B50" s="106"/>
      <c r="C50" s="106"/>
      <c r="D50" s="288" t="s">
        <v>801</v>
      </c>
      <c r="E50" s="33" t="s">
        <v>85</v>
      </c>
      <c r="F50" s="106"/>
      <c r="G50" s="66">
        <v>13</v>
      </c>
      <c r="H50" s="106"/>
      <c r="I50" s="107"/>
      <c r="J50" s="33">
        <v>13</v>
      </c>
      <c r="K50" s="106"/>
      <c r="L50" s="106"/>
      <c r="M50" s="70">
        <v>13</v>
      </c>
      <c r="N50" s="106"/>
      <c r="O50" s="107"/>
      <c r="P50" s="289">
        <v>13</v>
      </c>
      <c r="Q50" s="106"/>
      <c r="R50" s="30">
        <f t="shared" ref="R50" si="4">SUM(G50:Q50)</f>
        <v>52</v>
      </c>
      <c r="S50" s="106"/>
      <c r="T50" s="95">
        <f t="shared" si="1"/>
        <v>0</v>
      </c>
    </row>
    <row r="51" spans="2:20" x14ac:dyDescent="0.2">
      <c r="B51" s="106"/>
      <c r="C51" s="106"/>
      <c r="D51" s="288" t="s">
        <v>802</v>
      </c>
      <c r="E51" s="33" t="s">
        <v>85</v>
      </c>
      <c r="F51" s="106"/>
      <c r="G51" s="66">
        <v>37</v>
      </c>
      <c r="H51" s="106"/>
      <c r="I51" s="107"/>
      <c r="J51" s="33">
        <v>37</v>
      </c>
      <c r="K51" s="106"/>
      <c r="L51" s="106"/>
      <c r="M51" s="70">
        <v>37</v>
      </c>
      <c r="N51" s="106"/>
      <c r="O51" s="107"/>
      <c r="P51" s="289">
        <v>37</v>
      </c>
      <c r="Q51" s="106"/>
      <c r="R51" s="30">
        <f t="shared" si="3"/>
        <v>148</v>
      </c>
      <c r="S51" s="290">
        <v>10.68</v>
      </c>
      <c r="T51" s="95">
        <f t="shared" si="1"/>
        <v>1580.6399999999999</v>
      </c>
    </row>
    <row r="52" spans="2:20" x14ac:dyDescent="0.2">
      <c r="B52" s="106"/>
      <c r="C52" s="106"/>
      <c r="D52" s="288" t="s">
        <v>803</v>
      </c>
      <c r="E52" s="33" t="s">
        <v>85</v>
      </c>
      <c r="F52" s="106"/>
      <c r="G52" s="66">
        <v>37</v>
      </c>
      <c r="H52" s="106"/>
      <c r="I52" s="107"/>
      <c r="J52" s="33">
        <v>37</v>
      </c>
      <c r="K52" s="106"/>
      <c r="L52" s="106"/>
      <c r="M52" s="70">
        <v>37</v>
      </c>
      <c r="N52" s="106"/>
      <c r="O52" s="107"/>
      <c r="P52" s="289">
        <v>37</v>
      </c>
      <c r="Q52" s="106"/>
      <c r="R52" s="30">
        <f t="shared" ref="R52" si="5">SUM(G52:Q52)</f>
        <v>148</v>
      </c>
      <c r="S52" s="290">
        <v>13.8</v>
      </c>
      <c r="T52" s="95">
        <f t="shared" si="1"/>
        <v>2042.4</v>
      </c>
    </row>
    <row r="53" spans="2:20" x14ac:dyDescent="0.2">
      <c r="B53" s="106"/>
      <c r="C53" s="106"/>
      <c r="D53" s="288" t="s">
        <v>804</v>
      </c>
      <c r="E53" s="33" t="s">
        <v>53</v>
      </c>
      <c r="F53" s="106"/>
      <c r="G53" s="66">
        <v>5</v>
      </c>
      <c r="H53" s="106"/>
      <c r="I53" s="107"/>
      <c r="J53" s="33">
        <v>5</v>
      </c>
      <c r="K53" s="106"/>
      <c r="L53" s="106"/>
      <c r="M53" s="70">
        <v>5</v>
      </c>
      <c r="N53" s="106"/>
      <c r="O53" s="107"/>
      <c r="P53" s="289">
        <v>5</v>
      </c>
      <c r="Q53" s="106"/>
      <c r="R53" s="30">
        <f t="shared" si="3"/>
        <v>20</v>
      </c>
      <c r="S53" s="290">
        <v>30.81</v>
      </c>
      <c r="T53" s="95">
        <f t="shared" si="1"/>
        <v>616.19999999999993</v>
      </c>
    </row>
    <row r="54" spans="2:20" x14ac:dyDescent="0.2">
      <c r="B54" s="106"/>
      <c r="C54" s="106"/>
      <c r="D54" s="106"/>
      <c r="E54" s="106"/>
      <c r="F54" s="106"/>
      <c r="G54" s="106"/>
      <c r="H54" s="106"/>
      <c r="I54" s="107"/>
      <c r="J54" s="106"/>
      <c r="K54" s="106"/>
      <c r="L54" s="106"/>
      <c r="M54" s="106"/>
      <c r="N54" s="106"/>
      <c r="O54" s="107"/>
      <c r="P54" s="106"/>
      <c r="Q54" s="106"/>
      <c r="R54" s="30">
        <f t="shared" ref="R54" si="6">SUM(G54:Q54)</f>
        <v>0</v>
      </c>
      <c r="S54" s="106"/>
      <c r="T54" s="95">
        <f t="shared" si="1"/>
        <v>0</v>
      </c>
    </row>
    <row r="55" spans="2:20" x14ac:dyDescent="0.2">
      <c r="B55" s="106"/>
      <c r="C55" s="106"/>
      <c r="D55" s="106"/>
      <c r="E55" s="106"/>
      <c r="F55" s="106"/>
      <c r="G55" s="106"/>
      <c r="H55" s="106"/>
      <c r="I55" s="107"/>
      <c r="J55" s="106"/>
      <c r="K55" s="106"/>
      <c r="L55" s="106"/>
      <c r="M55" s="106"/>
      <c r="N55" s="106"/>
      <c r="O55" s="107"/>
      <c r="P55" s="106"/>
      <c r="Q55" s="106"/>
      <c r="R55" s="30">
        <f t="shared" si="3"/>
        <v>0</v>
      </c>
      <c r="S55" s="106"/>
      <c r="T55" s="95">
        <f t="shared" si="1"/>
        <v>0</v>
      </c>
    </row>
    <row r="56" spans="2:20" x14ac:dyDescent="0.2">
      <c r="B56" s="106"/>
      <c r="C56" s="106"/>
      <c r="D56" s="106"/>
      <c r="E56" s="106"/>
      <c r="F56" s="106"/>
      <c r="G56" s="106"/>
      <c r="H56" s="106"/>
      <c r="I56" s="107"/>
      <c r="J56" s="106"/>
      <c r="K56" s="106"/>
      <c r="L56" s="106"/>
      <c r="M56" s="106"/>
      <c r="N56" s="106"/>
      <c r="O56" s="107"/>
      <c r="P56" s="106"/>
      <c r="Q56" s="106"/>
      <c r="R56" s="30">
        <f t="shared" ref="R56" si="7">SUM(G56:Q56)</f>
        <v>0</v>
      </c>
      <c r="S56" s="106"/>
      <c r="T56" s="95">
        <f t="shared" si="1"/>
        <v>0</v>
      </c>
    </row>
    <row r="57" spans="2:20" x14ac:dyDescent="0.2">
      <c r="B57" s="106"/>
      <c r="C57" s="106"/>
      <c r="D57" s="106"/>
      <c r="E57" s="106"/>
      <c r="F57" s="106"/>
      <c r="G57" s="106"/>
      <c r="H57" s="106"/>
      <c r="I57" s="107"/>
      <c r="J57" s="106"/>
      <c r="K57" s="106"/>
      <c r="L57" s="106"/>
      <c r="M57" s="106"/>
      <c r="N57" s="106"/>
      <c r="O57" s="107"/>
      <c r="P57" s="106"/>
      <c r="Q57" s="106"/>
      <c r="R57" s="30">
        <f t="shared" si="3"/>
        <v>0</v>
      </c>
      <c r="S57" s="106"/>
      <c r="T57" s="95">
        <f t="shared" si="1"/>
        <v>0</v>
      </c>
    </row>
    <row r="58" spans="2:20" x14ac:dyDescent="0.2">
      <c r="B58" s="106"/>
      <c r="C58" s="106"/>
      <c r="D58" s="106"/>
      <c r="E58" s="106"/>
      <c r="F58" s="106"/>
      <c r="G58" s="106"/>
      <c r="H58" s="106"/>
      <c r="I58" s="107"/>
      <c r="J58" s="106"/>
      <c r="K58" s="106"/>
      <c r="L58" s="106"/>
      <c r="M58" s="106"/>
      <c r="N58" s="106"/>
      <c r="O58" s="107"/>
      <c r="P58" s="106"/>
      <c r="Q58" s="106"/>
      <c r="R58" s="30">
        <f t="shared" ref="R58" si="8">SUM(G58:Q58)</f>
        <v>0</v>
      </c>
      <c r="S58" s="106"/>
      <c r="T58" s="95">
        <f t="shared" si="1"/>
        <v>0</v>
      </c>
    </row>
    <row r="59" spans="2:20" x14ac:dyDescent="0.2">
      <c r="B59" s="106"/>
      <c r="C59" s="106"/>
      <c r="D59" s="106"/>
      <c r="E59" s="106"/>
      <c r="F59" s="106"/>
      <c r="G59" s="106"/>
      <c r="H59" s="106"/>
      <c r="I59" s="107"/>
      <c r="J59" s="106"/>
      <c r="K59" s="106"/>
      <c r="L59" s="106"/>
      <c r="M59" s="106"/>
      <c r="N59" s="106"/>
      <c r="O59" s="107"/>
      <c r="P59" s="106"/>
      <c r="Q59" s="106"/>
      <c r="R59" s="30">
        <f t="shared" si="3"/>
        <v>0</v>
      </c>
      <c r="S59" s="106"/>
      <c r="T59" s="95">
        <f t="shared" si="1"/>
        <v>0</v>
      </c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52"/>
  <sheetViews>
    <sheetView zoomScale="90" zoomScaleNormal="90" workbookViewId="0">
      <selection activeCell="T11" sqref="T1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3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</row>
    <row r="6" spans="2:23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</row>
    <row r="7" spans="2:23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</row>
    <row r="8" spans="2:23" s="2" customFormat="1" ht="11.25" x14ac:dyDescent="0.2">
      <c r="B8" s="292" t="s">
        <v>19</v>
      </c>
      <c r="C8" s="292"/>
      <c r="D8" s="10" t="s">
        <v>666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2:23" ht="13.5" thickBot="1" x14ac:dyDescent="0.25"/>
    <row r="10" spans="2:23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3" s="183" customFormat="1" ht="11.25" x14ac:dyDescent="0.2">
      <c r="B11" s="14">
        <v>1</v>
      </c>
      <c r="C11" s="7" t="s">
        <v>50</v>
      </c>
      <c r="D11" s="197" t="s">
        <v>667</v>
      </c>
      <c r="E11" s="181" t="s">
        <v>493</v>
      </c>
      <c r="F11" s="7"/>
      <c r="G11" s="7"/>
      <c r="H11" s="7"/>
      <c r="I11" s="200"/>
      <c r="J11" s="7">
        <v>8</v>
      </c>
      <c r="K11" s="7"/>
      <c r="L11" s="7"/>
      <c r="M11" s="7"/>
      <c r="N11" s="7"/>
      <c r="O11" s="7"/>
      <c r="P11" s="7"/>
      <c r="Q11" s="7"/>
      <c r="R11" s="7">
        <f>SUM(F11:Q11)</f>
        <v>8</v>
      </c>
      <c r="S11" s="193">
        <v>2200</v>
      </c>
      <c r="T11" s="15">
        <f>+R11*S11</f>
        <v>17600</v>
      </c>
    </row>
    <row r="12" spans="2:23" s="183" customFormat="1" ht="11.25" x14ac:dyDescent="0.2">
      <c r="B12" s="14"/>
      <c r="C12" s="7"/>
      <c r="D12" s="184"/>
      <c r="E12" s="185"/>
      <c r="F12" s="7"/>
      <c r="G12" s="7"/>
      <c r="H12" s="7"/>
      <c r="I12" s="201"/>
      <c r="J12" s="7"/>
      <c r="K12" s="7"/>
      <c r="L12" s="7"/>
      <c r="M12" s="7"/>
      <c r="N12" s="7"/>
      <c r="O12" s="7"/>
      <c r="P12" s="7"/>
      <c r="Q12" s="7"/>
      <c r="R12" s="157"/>
      <c r="S12" s="186"/>
      <c r="T12" s="15"/>
    </row>
    <row r="13" spans="2:23" s="183" customFormat="1" ht="11.25" x14ac:dyDescent="0.2">
      <c r="B13" s="14"/>
      <c r="C13" s="7"/>
      <c r="D13" s="184"/>
      <c r="E13" s="185"/>
      <c r="F13" s="7"/>
      <c r="G13" s="7"/>
      <c r="H13" s="7"/>
      <c r="I13" s="201"/>
      <c r="J13" s="7"/>
      <c r="K13" s="7"/>
      <c r="L13" s="7"/>
      <c r="M13" s="7"/>
      <c r="N13" s="7"/>
      <c r="O13" s="7"/>
      <c r="P13" s="7"/>
      <c r="Q13" s="7"/>
      <c r="R13" s="157"/>
      <c r="S13" s="186"/>
      <c r="T13" s="15"/>
    </row>
    <row r="14" spans="2:23" x14ac:dyDescent="0.2">
      <c r="B14" s="14"/>
      <c r="C14" s="7"/>
      <c r="D14" s="184"/>
      <c r="E14" s="185"/>
      <c r="F14" s="7"/>
      <c r="G14" s="7"/>
      <c r="H14" s="7"/>
      <c r="I14" s="201"/>
      <c r="J14" s="7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3" x14ac:dyDescent="0.2">
      <c r="B15" s="14"/>
      <c r="C15" s="7"/>
      <c r="D15" s="184"/>
      <c r="E15" s="18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7"/>
      <c r="S15" s="187"/>
      <c r="T15" s="15"/>
    </row>
    <row r="16" spans="2:23" x14ac:dyDescent="0.2">
      <c r="B16" s="14"/>
      <c r="C16" s="7"/>
      <c r="D16" s="184"/>
      <c r="E16" s="18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7"/>
      <c r="S16" s="187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7"/>
      <c r="S17" s="187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2816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20416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J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300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301</v>
      </c>
      <c r="E11" s="33" t="s">
        <v>293</v>
      </c>
      <c r="F11" s="66"/>
      <c r="G11" s="66"/>
      <c r="H11" s="66"/>
      <c r="I11" s="30"/>
      <c r="J11" s="53"/>
      <c r="K11" s="54"/>
      <c r="L11" s="69"/>
      <c r="M11" s="69">
        <v>1</v>
      </c>
      <c r="N11" s="69"/>
      <c r="O11" s="53"/>
      <c r="P11" s="54"/>
      <c r="Q11" s="54"/>
      <c r="R11" s="53">
        <f>SUM(F11:Q11)</f>
        <v>1</v>
      </c>
      <c r="S11" s="55">
        <v>7197.22</v>
      </c>
      <c r="T11" s="56">
        <f>+S11*R11</f>
        <v>7197.22</v>
      </c>
    </row>
    <row r="12" spans="2:25" s="45" customFormat="1" x14ac:dyDescent="0.2">
      <c r="B12" s="30"/>
      <c r="C12" s="30"/>
      <c r="D12" s="32" t="s">
        <v>376</v>
      </c>
      <c r="E12" s="33" t="s">
        <v>293</v>
      </c>
      <c r="F12" s="66">
        <v>12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12</v>
      </c>
      <c r="S12" s="58">
        <v>287.36</v>
      </c>
      <c r="T12" s="59">
        <f>+S12*R12</f>
        <v>3448.32</v>
      </c>
    </row>
    <row r="13" spans="2:25" s="45" customFormat="1" x14ac:dyDescent="0.2">
      <c r="B13" s="30"/>
      <c r="C13" s="30"/>
      <c r="D13" s="195" t="s">
        <v>668</v>
      </c>
      <c r="E13" s="202" t="s">
        <v>493</v>
      </c>
      <c r="F13" s="7"/>
      <c r="G13" s="7"/>
      <c r="H13" s="7"/>
      <c r="I13" s="7"/>
      <c r="J13" s="7">
        <v>10</v>
      </c>
      <c r="K13" s="7"/>
      <c r="L13" s="7"/>
      <c r="M13" s="7"/>
      <c r="N13" s="7"/>
      <c r="O13" s="7"/>
      <c r="P13" s="7"/>
      <c r="Q13" s="7"/>
      <c r="R13" s="7">
        <f t="shared" ref="R13:R19" si="0">SUM(F13:Q13)</f>
        <v>10</v>
      </c>
      <c r="S13" s="193">
        <v>120</v>
      </c>
      <c r="T13" s="15">
        <f>+R13*S13</f>
        <v>1200</v>
      </c>
    </row>
    <row r="14" spans="2:25" s="45" customFormat="1" x14ac:dyDescent="0.2">
      <c r="B14" s="30"/>
      <c r="C14" s="30"/>
      <c r="D14" s="188" t="s">
        <v>669</v>
      </c>
      <c r="E14" s="185" t="s">
        <v>493</v>
      </c>
      <c r="F14" s="7"/>
      <c r="G14" s="7"/>
      <c r="H14" s="7"/>
      <c r="I14" s="7"/>
      <c r="J14" s="7">
        <v>5</v>
      </c>
      <c r="K14" s="7"/>
      <c r="L14" s="7"/>
      <c r="M14" s="7"/>
      <c r="N14" s="7"/>
      <c r="O14" s="7"/>
      <c r="P14" s="7"/>
      <c r="Q14" s="7"/>
      <c r="R14" s="157">
        <f t="shared" si="0"/>
        <v>5</v>
      </c>
      <c r="S14" s="186">
        <v>350</v>
      </c>
      <c r="T14" s="15">
        <f t="shared" ref="T14:T19" si="1">+R14*S14</f>
        <v>1750</v>
      </c>
    </row>
    <row r="15" spans="2:25" s="45" customFormat="1" x14ac:dyDescent="0.2">
      <c r="B15" s="30"/>
      <c r="C15" s="30"/>
      <c r="D15" s="188" t="s">
        <v>670</v>
      </c>
      <c r="E15" s="185" t="s">
        <v>671</v>
      </c>
      <c r="F15" s="7"/>
      <c r="G15" s="7"/>
      <c r="H15" s="7"/>
      <c r="I15" s="7"/>
      <c r="J15" s="7">
        <v>25</v>
      </c>
      <c r="K15" s="7"/>
      <c r="L15" s="7"/>
      <c r="M15" s="7"/>
      <c r="N15" s="7"/>
      <c r="O15" s="7"/>
      <c r="P15" s="7"/>
      <c r="Q15" s="7"/>
      <c r="R15" s="157">
        <f t="shared" si="0"/>
        <v>25</v>
      </c>
      <c r="S15" s="186">
        <v>75</v>
      </c>
      <c r="T15" s="15">
        <f t="shared" si="1"/>
        <v>1875</v>
      </c>
    </row>
    <row r="16" spans="2:25" s="45" customFormat="1" x14ac:dyDescent="0.2">
      <c r="B16" s="30"/>
      <c r="C16" s="30"/>
      <c r="D16" s="188" t="s">
        <v>672</v>
      </c>
      <c r="E16" s="185" t="s">
        <v>671</v>
      </c>
      <c r="F16" s="7"/>
      <c r="G16" s="7"/>
      <c r="H16" s="7"/>
      <c r="I16" s="7"/>
      <c r="J16" s="7">
        <v>10</v>
      </c>
      <c r="K16" s="7"/>
      <c r="L16" s="7"/>
      <c r="M16" s="7"/>
      <c r="N16" s="7"/>
      <c r="O16" s="7"/>
      <c r="P16" s="7"/>
      <c r="Q16" s="7"/>
      <c r="R16" s="157">
        <f t="shared" si="0"/>
        <v>10</v>
      </c>
      <c r="S16" s="186">
        <v>350</v>
      </c>
      <c r="T16" s="15">
        <f t="shared" si="1"/>
        <v>3500</v>
      </c>
    </row>
    <row r="17" spans="2:20" s="45" customFormat="1" x14ac:dyDescent="0.2">
      <c r="B17" s="30"/>
      <c r="C17" s="30"/>
      <c r="D17" s="188" t="s">
        <v>673</v>
      </c>
      <c r="E17" s="185" t="s">
        <v>674</v>
      </c>
      <c r="F17" s="7"/>
      <c r="G17" s="7"/>
      <c r="H17" s="7"/>
      <c r="I17" s="7"/>
      <c r="J17" s="7">
        <v>3</v>
      </c>
      <c r="K17" s="7"/>
      <c r="L17" s="7"/>
      <c r="M17" s="7"/>
      <c r="N17" s="7"/>
      <c r="O17" s="7"/>
      <c r="P17" s="7"/>
      <c r="Q17" s="7"/>
      <c r="R17" s="157">
        <f t="shared" si="0"/>
        <v>3</v>
      </c>
      <c r="S17" s="186">
        <v>800</v>
      </c>
      <c r="T17" s="15">
        <f t="shared" si="1"/>
        <v>2400</v>
      </c>
    </row>
    <row r="18" spans="2:20" s="45" customFormat="1" x14ac:dyDescent="0.2">
      <c r="B18" s="30"/>
      <c r="C18" s="30"/>
      <c r="D18" s="188" t="s">
        <v>675</v>
      </c>
      <c r="E18" s="185" t="s">
        <v>493</v>
      </c>
      <c r="F18" s="7"/>
      <c r="G18" s="7"/>
      <c r="H18" s="7"/>
      <c r="I18" s="7"/>
      <c r="J18" s="7">
        <v>250</v>
      </c>
      <c r="K18" s="7"/>
      <c r="L18" s="7"/>
      <c r="M18" s="7"/>
      <c r="N18" s="7"/>
      <c r="O18" s="7"/>
      <c r="P18" s="7"/>
      <c r="Q18" s="7"/>
      <c r="R18" s="157">
        <f t="shared" si="0"/>
        <v>250</v>
      </c>
      <c r="S18" s="186">
        <v>15</v>
      </c>
      <c r="T18" s="15">
        <f t="shared" si="1"/>
        <v>3750</v>
      </c>
    </row>
    <row r="19" spans="2:20" s="45" customFormat="1" x14ac:dyDescent="0.2">
      <c r="B19" s="30"/>
      <c r="C19" s="30"/>
      <c r="D19" s="188" t="s">
        <v>676</v>
      </c>
      <c r="E19" s="185" t="s">
        <v>493</v>
      </c>
      <c r="F19" s="7"/>
      <c r="G19" s="7"/>
      <c r="H19" s="7"/>
      <c r="I19" s="7"/>
      <c r="J19" s="7">
        <v>5</v>
      </c>
      <c r="K19" s="7"/>
      <c r="L19" s="7"/>
      <c r="M19" s="7"/>
      <c r="N19" s="7"/>
      <c r="O19" s="7"/>
      <c r="P19" s="7"/>
      <c r="Q19" s="7"/>
      <c r="R19" s="157">
        <f t="shared" si="0"/>
        <v>5</v>
      </c>
      <c r="S19" s="186">
        <v>500</v>
      </c>
      <c r="T19" s="15">
        <f t="shared" si="1"/>
        <v>2500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ref="R20:R24" si="2">+SUM(F20:Q20)</f>
        <v>0</v>
      </c>
      <c r="S20" s="58"/>
      <c r="T20" s="59">
        <f t="shared" ref="T20:T24" si="3">+S20*R20</f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2"/>
        <v>0</v>
      </c>
      <c r="S21" s="58"/>
      <c r="T21" s="59">
        <f t="shared" si="3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2"/>
        <v>0</v>
      </c>
      <c r="S22" s="58"/>
      <c r="T22" s="59">
        <f t="shared" si="3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2"/>
        <v>0</v>
      </c>
      <c r="S23" s="58"/>
      <c r="T23" s="59">
        <f t="shared" si="3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2"/>
        <v>0</v>
      </c>
      <c r="S24" s="58"/>
      <c r="T24" s="59">
        <f t="shared" si="3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4419.2864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32039.826400000002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J4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294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13.5" thickBot="1" x14ac:dyDescent="0.25">
      <c r="B11" s="30">
        <v>1</v>
      </c>
      <c r="C11" s="30" t="s">
        <v>50</v>
      </c>
      <c r="D11" s="32" t="s">
        <v>295</v>
      </c>
      <c r="E11" s="33" t="s">
        <v>296</v>
      </c>
      <c r="F11" s="66"/>
      <c r="G11" s="66"/>
      <c r="H11" s="66"/>
      <c r="I11" s="30"/>
      <c r="J11" s="53"/>
      <c r="K11" s="54"/>
      <c r="L11" s="69"/>
      <c r="M11" s="69"/>
      <c r="N11" s="69">
        <v>20</v>
      </c>
      <c r="O11" s="53"/>
      <c r="P11" s="54">
        <v>1</v>
      </c>
      <c r="Q11" s="54">
        <v>1</v>
      </c>
      <c r="R11" s="53">
        <f>SUM(F11:Q11)</f>
        <v>22</v>
      </c>
      <c r="S11" s="55">
        <v>1516.8</v>
      </c>
      <c r="T11" s="56">
        <f>S11*R11+20000</f>
        <v>53369.599999999999</v>
      </c>
    </row>
    <row r="12" spans="2:25" s="45" customFormat="1" ht="13.5" thickBot="1" x14ac:dyDescent="0.25">
      <c r="B12" s="30"/>
      <c r="C12" s="30"/>
      <c r="D12" s="174" t="s">
        <v>584</v>
      </c>
      <c r="E12" s="135" t="s">
        <v>85</v>
      </c>
      <c r="F12" s="163">
        <v>2</v>
      </c>
      <c r="G12" s="134"/>
      <c r="H12" s="135"/>
      <c r="I12" s="134"/>
      <c r="J12" s="135"/>
      <c r="K12" s="134"/>
      <c r="L12" s="135"/>
      <c r="M12" s="134"/>
      <c r="N12" s="135"/>
      <c r="O12" s="134"/>
      <c r="P12" s="134"/>
      <c r="Q12" s="134"/>
      <c r="R12" s="135">
        <f>SUM(F12:Q12)</f>
        <v>2</v>
      </c>
      <c r="S12" s="164">
        <v>215.51900000000001</v>
      </c>
      <c r="T12" s="138">
        <f>S12*R12</f>
        <v>431.03800000000001</v>
      </c>
    </row>
    <row r="13" spans="2:25" s="45" customFormat="1" x14ac:dyDescent="0.2">
      <c r="B13" s="30"/>
      <c r="C13" s="30"/>
      <c r="D13" s="195" t="s">
        <v>677</v>
      </c>
      <c r="E13" s="202" t="s">
        <v>493</v>
      </c>
      <c r="F13" s="7"/>
      <c r="G13" s="7"/>
      <c r="H13" s="7"/>
      <c r="I13" s="7"/>
      <c r="J13" s="200">
        <v>30</v>
      </c>
      <c r="K13" s="7"/>
      <c r="L13" s="7"/>
      <c r="M13" s="7"/>
      <c r="N13" s="7"/>
      <c r="O13" s="7"/>
      <c r="P13" s="7"/>
      <c r="Q13" s="7"/>
      <c r="R13" s="7">
        <f t="shared" ref="R13:R19" si="0">SUM(F13:Q13)</f>
        <v>30</v>
      </c>
      <c r="S13" s="193">
        <v>12</v>
      </c>
      <c r="T13" s="15">
        <f>+R13*S13</f>
        <v>360</v>
      </c>
    </row>
    <row r="14" spans="2:25" s="45" customFormat="1" x14ac:dyDescent="0.2">
      <c r="B14" s="30"/>
      <c r="C14" s="30"/>
      <c r="D14" s="188" t="s">
        <v>678</v>
      </c>
      <c r="E14" s="185" t="s">
        <v>493</v>
      </c>
      <c r="F14" s="7"/>
      <c r="G14" s="7"/>
      <c r="H14" s="7"/>
      <c r="I14" s="7"/>
      <c r="J14" s="201">
        <v>20</v>
      </c>
      <c r="K14" s="7"/>
      <c r="L14" s="7"/>
      <c r="M14" s="7"/>
      <c r="N14" s="7"/>
      <c r="O14" s="7"/>
      <c r="P14" s="7"/>
      <c r="Q14" s="7"/>
      <c r="R14" s="157">
        <f t="shared" si="0"/>
        <v>20</v>
      </c>
      <c r="S14" s="186">
        <v>25</v>
      </c>
      <c r="T14" s="15">
        <f t="shared" ref="T14:T19" si="1">+R14*S14</f>
        <v>500</v>
      </c>
    </row>
    <row r="15" spans="2:25" s="45" customFormat="1" x14ac:dyDescent="0.2">
      <c r="B15" s="30"/>
      <c r="C15" s="30"/>
      <c r="D15" s="188" t="s">
        <v>679</v>
      </c>
      <c r="E15" s="185" t="s">
        <v>493</v>
      </c>
      <c r="F15" s="7"/>
      <c r="G15" s="7"/>
      <c r="H15" s="7"/>
      <c r="I15" s="7"/>
      <c r="J15" s="201">
        <v>3</v>
      </c>
      <c r="K15" s="7"/>
      <c r="L15" s="7"/>
      <c r="M15" s="7"/>
      <c r="N15" s="7"/>
      <c r="O15" s="7"/>
      <c r="P15" s="7"/>
      <c r="Q15" s="7"/>
      <c r="R15" s="157">
        <f t="shared" si="0"/>
        <v>3</v>
      </c>
      <c r="S15" s="186">
        <v>20</v>
      </c>
      <c r="T15" s="15">
        <f t="shared" si="1"/>
        <v>60</v>
      </c>
    </row>
    <row r="16" spans="2:25" s="45" customFormat="1" x14ac:dyDescent="0.2">
      <c r="B16" s="30"/>
      <c r="C16" s="30"/>
      <c r="D16" s="188" t="s">
        <v>680</v>
      </c>
      <c r="E16" s="185" t="s">
        <v>681</v>
      </c>
      <c r="F16" s="7"/>
      <c r="G16" s="7"/>
      <c r="H16" s="7"/>
      <c r="I16" s="7"/>
      <c r="J16" s="201">
        <v>25</v>
      </c>
      <c r="K16" s="7"/>
      <c r="L16" s="7"/>
      <c r="M16" s="7"/>
      <c r="N16" s="7"/>
      <c r="O16" s="7"/>
      <c r="P16" s="7"/>
      <c r="Q16" s="7"/>
      <c r="R16" s="157">
        <f t="shared" si="0"/>
        <v>25</v>
      </c>
      <c r="S16" s="186">
        <v>55</v>
      </c>
      <c r="T16" s="15">
        <f t="shared" si="1"/>
        <v>1375</v>
      </c>
    </row>
    <row r="17" spans="2:20" s="45" customFormat="1" x14ac:dyDescent="0.2">
      <c r="B17" s="30"/>
      <c r="C17" s="30"/>
      <c r="D17" s="188" t="s">
        <v>682</v>
      </c>
      <c r="E17" s="185" t="s">
        <v>683</v>
      </c>
      <c r="F17" s="7"/>
      <c r="G17" s="7"/>
      <c r="H17" s="7"/>
      <c r="I17" s="7"/>
      <c r="J17" s="201">
        <v>5</v>
      </c>
      <c r="K17" s="7"/>
      <c r="L17" s="7"/>
      <c r="M17" s="7"/>
      <c r="N17" s="7"/>
      <c r="O17" s="7"/>
      <c r="P17" s="7"/>
      <c r="Q17" s="7"/>
      <c r="R17" s="157">
        <f t="shared" si="0"/>
        <v>5</v>
      </c>
      <c r="S17" s="186">
        <v>8</v>
      </c>
      <c r="T17" s="15">
        <f t="shared" si="1"/>
        <v>40</v>
      </c>
    </row>
    <row r="18" spans="2:20" s="45" customFormat="1" x14ac:dyDescent="0.2">
      <c r="B18" s="30"/>
      <c r="C18" s="30"/>
      <c r="D18" s="188" t="s">
        <v>684</v>
      </c>
      <c r="E18" s="185" t="s">
        <v>681</v>
      </c>
      <c r="F18" s="7"/>
      <c r="G18" s="7"/>
      <c r="H18" s="7"/>
      <c r="I18" s="7"/>
      <c r="J18" s="201">
        <v>50</v>
      </c>
      <c r="K18" s="7"/>
      <c r="L18" s="7"/>
      <c r="M18" s="7"/>
      <c r="N18" s="7"/>
      <c r="O18" s="7"/>
      <c r="P18" s="7"/>
      <c r="Q18" s="7"/>
      <c r="R18" s="157">
        <f t="shared" si="0"/>
        <v>50</v>
      </c>
      <c r="S18" s="186">
        <v>50</v>
      </c>
      <c r="T18" s="15">
        <f t="shared" si="1"/>
        <v>2500</v>
      </c>
    </row>
    <row r="19" spans="2:20" s="45" customFormat="1" x14ac:dyDescent="0.2">
      <c r="B19" s="30"/>
      <c r="C19" s="30"/>
      <c r="D19" s="188" t="s">
        <v>685</v>
      </c>
      <c r="E19" s="185" t="s">
        <v>681</v>
      </c>
      <c r="F19" s="7"/>
      <c r="G19" s="7"/>
      <c r="H19" s="7"/>
      <c r="I19" s="7"/>
      <c r="J19" s="201">
        <v>15</v>
      </c>
      <c r="K19" s="7"/>
      <c r="L19" s="7"/>
      <c r="M19" s="7"/>
      <c r="N19" s="7"/>
      <c r="O19" s="7"/>
      <c r="P19" s="7"/>
      <c r="Q19" s="7"/>
      <c r="R19" s="157">
        <f t="shared" si="0"/>
        <v>15</v>
      </c>
      <c r="S19" s="186">
        <v>15</v>
      </c>
      <c r="T19" s="15">
        <f t="shared" si="1"/>
        <v>225</v>
      </c>
    </row>
    <row r="20" spans="2:20" s="45" customFormat="1" x14ac:dyDescent="0.2">
      <c r="B20" s="30"/>
      <c r="C20" s="30"/>
      <c r="D20" s="204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ref="R20:R24" si="2">+SUM(F20:Q20)</f>
        <v>0</v>
      </c>
      <c r="S20" s="58"/>
      <c r="T20" s="59">
        <f t="shared" ref="T20:T24" si="3">+S20*R20</f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2"/>
        <v>0</v>
      </c>
      <c r="S21" s="58"/>
      <c r="T21" s="59">
        <f t="shared" si="3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2"/>
        <v>0</v>
      </c>
      <c r="S22" s="58"/>
      <c r="T22" s="59">
        <f t="shared" si="3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2"/>
        <v>0</v>
      </c>
      <c r="S23" s="58"/>
      <c r="T23" s="59">
        <f t="shared" si="3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2"/>
        <v>0</v>
      </c>
      <c r="S24" s="58"/>
      <c r="T24" s="59">
        <f t="shared" si="3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9417.7020800000009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68278.340079999994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G1" workbookViewId="0">
      <selection activeCell="D11" sqref="D11:D17"/>
    </sheetView>
  </sheetViews>
  <sheetFormatPr baseColWidth="10" defaultRowHeight="12.75" x14ac:dyDescent="0.2"/>
  <cols>
    <col min="4" max="4" width="37.140625" customWidth="1"/>
    <col min="6" max="17" width="11.425781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527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3" t="s">
        <v>529</v>
      </c>
      <c r="E11" s="135" t="s">
        <v>530</v>
      </c>
      <c r="F11" s="135">
        <v>1</v>
      </c>
      <c r="G11" s="134"/>
      <c r="H11" s="135"/>
      <c r="I11" s="134"/>
      <c r="J11" s="135"/>
      <c r="K11" s="134"/>
      <c r="L11" s="135">
        <v>1</v>
      </c>
      <c r="M11" s="134"/>
      <c r="N11" s="135"/>
      <c r="O11" s="134"/>
      <c r="P11" s="134"/>
      <c r="Q11" s="134"/>
      <c r="R11" s="135">
        <v>2</v>
      </c>
      <c r="S11" s="153">
        <v>9698.2800000000007</v>
      </c>
      <c r="T11" s="138">
        <f>S11*R11</f>
        <v>19396.560000000001</v>
      </c>
    </row>
    <row r="12" spans="1:20" ht="13.5" thickBot="1" x14ac:dyDescent="0.25">
      <c r="B12" s="14">
        <v>2</v>
      </c>
      <c r="C12" s="135" t="s">
        <v>528</v>
      </c>
      <c r="D12" s="139" t="s">
        <v>531</v>
      </c>
      <c r="E12" s="7" t="s">
        <v>530</v>
      </c>
      <c r="F12" s="7">
        <v>1</v>
      </c>
      <c r="G12" s="8"/>
      <c r="H12" s="7"/>
      <c r="I12" s="8"/>
      <c r="J12" s="7"/>
      <c r="K12" s="8"/>
      <c r="L12" s="7">
        <v>1</v>
      </c>
      <c r="M12" s="8"/>
      <c r="N12" s="7"/>
      <c r="O12" s="8"/>
      <c r="P12" s="8">
        <v>1</v>
      </c>
      <c r="Q12" s="8"/>
      <c r="R12" s="7">
        <v>3</v>
      </c>
      <c r="S12" s="9">
        <v>6465.52</v>
      </c>
      <c r="T12" s="138">
        <f t="shared" ref="T12" si="0">S12*R12</f>
        <v>19396.560000000001</v>
      </c>
    </row>
    <row r="13" spans="1:20" ht="13.5" thickBot="1" x14ac:dyDescent="0.25">
      <c r="B13" s="14"/>
      <c r="C13" s="135"/>
      <c r="D13" s="195" t="s">
        <v>686</v>
      </c>
      <c r="E13" s="202" t="s">
        <v>687</v>
      </c>
      <c r="F13" s="7"/>
      <c r="G13" s="7"/>
      <c r="H13" s="7"/>
      <c r="I13" s="200">
        <v>10</v>
      </c>
      <c r="J13" s="200"/>
      <c r="K13" s="7"/>
      <c r="L13" s="7"/>
      <c r="M13" s="7">
        <v>10</v>
      </c>
      <c r="N13" s="7"/>
      <c r="O13" s="7"/>
      <c r="P13" s="7"/>
      <c r="Q13" s="7"/>
      <c r="R13" s="7">
        <f t="shared" ref="R13:R17" si="1">SUM(F13:Q13)</f>
        <v>20</v>
      </c>
      <c r="S13" s="193">
        <v>200</v>
      </c>
      <c r="T13" s="15">
        <f>+R13*S13</f>
        <v>4000</v>
      </c>
    </row>
    <row r="14" spans="1:20" ht="13.5" thickBot="1" x14ac:dyDescent="0.25">
      <c r="B14" s="14"/>
      <c r="C14" s="135"/>
      <c r="D14" s="188" t="s">
        <v>688</v>
      </c>
      <c r="E14" s="185" t="s">
        <v>689</v>
      </c>
      <c r="F14" s="7"/>
      <c r="G14" s="7"/>
      <c r="H14" s="7"/>
      <c r="I14" s="201">
        <v>1</v>
      </c>
      <c r="J14" s="201"/>
      <c r="K14" s="7"/>
      <c r="L14" s="7"/>
      <c r="M14" s="7">
        <v>1</v>
      </c>
      <c r="N14" s="7"/>
      <c r="O14" s="7"/>
      <c r="P14" s="7"/>
      <c r="Q14" s="7"/>
      <c r="R14" s="157">
        <f t="shared" si="1"/>
        <v>2</v>
      </c>
      <c r="S14" s="186">
        <v>850</v>
      </c>
      <c r="T14" s="15">
        <f t="shared" ref="T14:T17" si="2">+R14*S14</f>
        <v>1700</v>
      </c>
    </row>
    <row r="15" spans="1:20" ht="13.5" thickBot="1" x14ac:dyDescent="0.25">
      <c r="B15" s="14"/>
      <c r="C15" s="135"/>
      <c r="D15" s="188" t="s">
        <v>690</v>
      </c>
      <c r="E15" s="185" t="s">
        <v>681</v>
      </c>
      <c r="F15" s="7"/>
      <c r="G15" s="7"/>
      <c r="H15" s="7"/>
      <c r="I15" s="201">
        <v>5</v>
      </c>
      <c r="J15" s="201"/>
      <c r="K15" s="7"/>
      <c r="L15" s="7"/>
      <c r="M15" s="7"/>
      <c r="N15" s="7"/>
      <c r="O15" s="7"/>
      <c r="P15" s="7"/>
      <c r="Q15" s="7"/>
      <c r="R15" s="157">
        <f t="shared" si="1"/>
        <v>5</v>
      </c>
      <c r="S15" s="186">
        <v>150</v>
      </c>
      <c r="T15" s="15">
        <f t="shared" si="2"/>
        <v>750</v>
      </c>
    </row>
    <row r="16" spans="1:20" ht="13.5" thickBot="1" x14ac:dyDescent="0.25">
      <c r="B16" s="14"/>
      <c r="C16" s="135"/>
      <c r="D16" s="188" t="s">
        <v>691</v>
      </c>
      <c r="E16" s="185" t="s">
        <v>681</v>
      </c>
      <c r="F16" s="7"/>
      <c r="G16" s="7"/>
      <c r="H16" s="7"/>
      <c r="I16" s="201">
        <v>1</v>
      </c>
      <c r="J16" s="201"/>
      <c r="K16" s="7"/>
      <c r="L16" s="7"/>
      <c r="M16" s="7"/>
      <c r="N16" s="7"/>
      <c r="O16" s="7"/>
      <c r="P16" s="7"/>
      <c r="Q16" s="7"/>
      <c r="R16" s="157">
        <f t="shared" si="1"/>
        <v>1</v>
      </c>
      <c r="S16" s="186">
        <v>200</v>
      </c>
      <c r="T16" s="15">
        <f t="shared" si="2"/>
        <v>200</v>
      </c>
    </row>
    <row r="17" spans="2:20" ht="13.5" thickBot="1" x14ac:dyDescent="0.25">
      <c r="B17" s="14"/>
      <c r="C17" s="135"/>
      <c r="D17" s="188" t="s">
        <v>692</v>
      </c>
      <c r="E17" s="185" t="s">
        <v>681</v>
      </c>
      <c r="F17" s="7"/>
      <c r="G17" s="7"/>
      <c r="H17" s="7"/>
      <c r="I17" s="201">
        <v>1</v>
      </c>
      <c r="J17" s="201"/>
      <c r="K17" s="7"/>
      <c r="L17" s="7"/>
      <c r="M17" s="7"/>
      <c r="N17" s="7"/>
      <c r="O17" s="7"/>
      <c r="P17" s="7"/>
      <c r="Q17" s="7"/>
      <c r="R17" s="157">
        <f t="shared" si="1"/>
        <v>1</v>
      </c>
      <c r="S17" s="186">
        <v>500</v>
      </c>
      <c r="T17" s="15">
        <f t="shared" si="2"/>
        <v>500</v>
      </c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45943.12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f>T46*16%</f>
        <v>7350.8992000000007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53294.019200000002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E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377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378</v>
      </c>
      <c r="E11" s="33" t="s">
        <v>85</v>
      </c>
      <c r="F11" s="66">
        <v>7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7</v>
      </c>
      <c r="S11" s="55">
        <v>90</v>
      </c>
      <c r="T11" s="56">
        <f>S11*R11+20000</f>
        <v>20630</v>
      </c>
    </row>
    <row r="12" spans="2:25" s="45" customFormat="1" x14ac:dyDescent="0.2">
      <c r="B12" s="30"/>
      <c r="C12" s="30"/>
      <c r="D12" s="32" t="s">
        <v>379</v>
      </c>
      <c r="E12" s="33" t="s">
        <v>85</v>
      </c>
      <c r="F12" s="66">
        <v>15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15</v>
      </c>
      <c r="S12" s="58">
        <v>130</v>
      </c>
      <c r="T12" s="59">
        <f>+S12*R12</f>
        <v>1950</v>
      </c>
    </row>
    <row r="13" spans="2:25" s="45" customFormat="1" x14ac:dyDescent="0.2">
      <c r="B13" s="30"/>
      <c r="C13" s="30"/>
      <c r="D13" s="32" t="s">
        <v>380</v>
      </c>
      <c r="E13" s="33" t="s">
        <v>85</v>
      </c>
      <c r="F13" s="66">
        <v>5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5</v>
      </c>
      <c r="S13" s="58">
        <v>125</v>
      </c>
      <c r="T13" s="59">
        <f>+S13*R13</f>
        <v>625</v>
      </c>
    </row>
    <row r="14" spans="2:25" s="45" customFormat="1" ht="25.5" x14ac:dyDescent="0.2">
      <c r="B14" s="30"/>
      <c r="C14" s="30"/>
      <c r="D14" s="36" t="s">
        <v>381</v>
      </c>
      <c r="E14" s="33" t="s">
        <v>85</v>
      </c>
      <c r="F14" s="66">
        <v>2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2</v>
      </c>
      <c r="S14" s="58">
        <v>552.66999999999996</v>
      </c>
      <c r="T14" s="59">
        <f>+S14*R14</f>
        <v>1105.3399999999999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3889.6543999999999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28199.9944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J1" zoomScale="115" zoomScaleNormal="115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382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13.5" thickBot="1" x14ac:dyDescent="0.25">
      <c r="B11" s="30">
        <v>1</v>
      </c>
      <c r="C11" s="30" t="s">
        <v>50</v>
      </c>
      <c r="D11" s="32" t="s">
        <v>383</v>
      </c>
      <c r="E11" s="33" t="s">
        <v>85</v>
      </c>
      <c r="F11" s="66">
        <v>4</v>
      </c>
      <c r="G11" s="66"/>
      <c r="H11" s="66"/>
      <c r="I11" s="30">
        <v>3</v>
      </c>
      <c r="J11" s="53"/>
      <c r="K11" s="54"/>
      <c r="L11" s="69"/>
      <c r="M11" s="69"/>
      <c r="N11" s="69"/>
      <c r="O11" s="53"/>
      <c r="P11" s="54"/>
      <c r="Q11" s="54"/>
      <c r="R11" s="53">
        <f>SUM(F11:Q11)</f>
        <v>7</v>
      </c>
      <c r="S11" s="55">
        <v>862.07</v>
      </c>
      <c r="T11" s="56">
        <f>S11*R11</f>
        <v>6034.4900000000007</v>
      </c>
    </row>
    <row r="12" spans="2:25" s="45" customFormat="1" ht="13.5" thickBot="1" x14ac:dyDescent="0.25">
      <c r="B12" s="30"/>
      <c r="C12" s="30"/>
      <c r="D12" s="32" t="s">
        <v>430</v>
      </c>
      <c r="E12" s="33" t="s">
        <v>85</v>
      </c>
      <c r="F12" s="66">
        <v>1</v>
      </c>
      <c r="G12" s="66"/>
      <c r="H12" s="66"/>
      <c r="I12" s="30">
        <v>1</v>
      </c>
      <c r="J12" s="30"/>
      <c r="K12" s="57"/>
      <c r="L12" s="66"/>
      <c r="M12" s="66">
        <v>1</v>
      </c>
      <c r="N12" s="66"/>
      <c r="O12" s="30"/>
      <c r="P12" s="57">
        <v>1</v>
      </c>
      <c r="Q12" s="57"/>
      <c r="R12" s="53">
        <f>SUM(F12:Q12)</f>
        <v>4</v>
      </c>
      <c r="S12" s="55">
        <v>1852</v>
      </c>
      <c r="T12" s="56">
        <f>S12*R12</f>
        <v>7408</v>
      </c>
    </row>
    <row r="13" spans="2:25" s="45" customFormat="1" ht="13.5" thickBot="1" x14ac:dyDescent="0.25">
      <c r="B13" s="30"/>
      <c r="C13" s="30"/>
      <c r="D13" s="32" t="s">
        <v>465</v>
      </c>
      <c r="E13" s="33" t="s">
        <v>85</v>
      </c>
      <c r="F13" s="66">
        <v>1</v>
      </c>
      <c r="G13" s="66">
        <v>1</v>
      </c>
      <c r="H13" s="66">
        <v>1</v>
      </c>
      <c r="I13" s="30">
        <v>1</v>
      </c>
      <c r="J13" s="30">
        <v>1</v>
      </c>
      <c r="K13" s="57">
        <v>1</v>
      </c>
      <c r="L13" s="66">
        <v>1</v>
      </c>
      <c r="M13" s="66">
        <v>1</v>
      </c>
      <c r="N13" s="66">
        <v>1</v>
      </c>
      <c r="O13" s="30">
        <v>1</v>
      </c>
      <c r="P13" s="57"/>
      <c r="Q13" s="57"/>
      <c r="R13" s="53">
        <f>SUM(F13:Q13)</f>
        <v>10</v>
      </c>
      <c r="S13" s="58">
        <v>1000</v>
      </c>
      <c r="T13" s="59">
        <f>+S13*R13</f>
        <v>10000</v>
      </c>
    </row>
    <row r="14" spans="2:25" s="45" customFormat="1" ht="13.5" thickBot="1" x14ac:dyDescent="0.25">
      <c r="B14" s="30"/>
      <c r="C14" s="30"/>
      <c r="D14" s="135" t="s">
        <v>534</v>
      </c>
      <c r="E14" s="135" t="s">
        <v>535</v>
      </c>
      <c r="F14" s="135">
        <v>10</v>
      </c>
      <c r="G14" s="134"/>
      <c r="H14" s="135"/>
      <c r="I14" s="134"/>
      <c r="J14" s="135"/>
      <c r="K14" s="134"/>
      <c r="L14" s="135">
        <v>10</v>
      </c>
      <c r="M14" s="134"/>
      <c r="N14" s="135"/>
      <c r="O14" s="134"/>
      <c r="P14" s="134"/>
      <c r="Q14" s="134"/>
      <c r="R14" s="135">
        <v>20</v>
      </c>
      <c r="S14" s="153">
        <v>250</v>
      </c>
      <c r="T14" s="138">
        <f>S14*R14</f>
        <v>5000</v>
      </c>
    </row>
    <row r="15" spans="2:25" s="45" customFormat="1" ht="13.5" thickBot="1" x14ac:dyDescent="0.25">
      <c r="B15" s="30"/>
      <c r="C15" s="30"/>
      <c r="D15" s="7" t="s">
        <v>536</v>
      </c>
      <c r="E15" s="7" t="s">
        <v>535</v>
      </c>
      <c r="F15" s="7">
        <v>10</v>
      </c>
      <c r="G15" s="8"/>
      <c r="H15" s="7"/>
      <c r="I15" s="8"/>
      <c r="J15" s="7"/>
      <c r="K15" s="8"/>
      <c r="L15" s="7">
        <v>10</v>
      </c>
      <c r="M15" s="8"/>
      <c r="N15" s="7"/>
      <c r="O15" s="8"/>
      <c r="P15" s="8"/>
      <c r="Q15" s="8"/>
      <c r="R15" s="7">
        <v>20</v>
      </c>
      <c r="S15" s="9">
        <v>250</v>
      </c>
      <c r="T15" s="138">
        <f t="shared" ref="T15:T16" si="0">S15*R15</f>
        <v>5000</v>
      </c>
    </row>
    <row r="16" spans="2:25" s="45" customFormat="1" ht="13.5" thickBot="1" x14ac:dyDescent="0.25">
      <c r="B16" s="30"/>
      <c r="C16" s="30"/>
      <c r="D16" s="7" t="s">
        <v>537</v>
      </c>
      <c r="E16" s="7" t="s">
        <v>535</v>
      </c>
      <c r="F16" s="7">
        <v>10</v>
      </c>
      <c r="G16" s="8"/>
      <c r="H16" s="7"/>
      <c r="I16" s="8"/>
      <c r="J16" s="7"/>
      <c r="K16" s="8"/>
      <c r="L16" s="7">
        <v>10</v>
      </c>
      <c r="M16" s="8"/>
      <c r="N16" s="7"/>
      <c r="O16" s="8"/>
      <c r="P16" s="8"/>
      <c r="Q16" s="8"/>
      <c r="R16" s="7">
        <v>20</v>
      </c>
      <c r="S16" s="9">
        <v>250</v>
      </c>
      <c r="T16" s="138">
        <f t="shared" si="0"/>
        <v>5000</v>
      </c>
    </row>
    <row r="17" spans="2:20" s="45" customFormat="1" x14ac:dyDescent="0.2">
      <c r="B17" s="30"/>
      <c r="C17" s="30"/>
      <c r="D17" s="276" t="s">
        <v>821</v>
      </c>
      <c r="E17" s="277" t="s">
        <v>822</v>
      </c>
      <c r="F17" s="271"/>
      <c r="G17" s="221">
        <v>1</v>
      </c>
      <c r="H17" s="221"/>
      <c r="I17" s="245"/>
      <c r="J17" s="221"/>
      <c r="K17" s="245"/>
      <c r="L17" s="221"/>
      <c r="M17" s="221">
        <v>1</v>
      </c>
      <c r="N17" s="221"/>
      <c r="O17" s="245"/>
      <c r="P17" s="221"/>
      <c r="Q17" s="245"/>
      <c r="R17" s="220">
        <f>SUM(F17:Q17)</f>
        <v>2</v>
      </c>
      <c r="S17" s="278">
        <v>1250</v>
      </c>
      <c r="T17" s="247">
        <f>S17*R17</f>
        <v>2500</v>
      </c>
    </row>
    <row r="18" spans="2:20" s="45" customFormat="1" x14ac:dyDescent="0.2">
      <c r="B18" s="30"/>
      <c r="C18" s="30"/>
      <c r="D18" s="272" t="s">
        <v>823</v>
      </c>
      <c r="E18" s="279" t="s">
        <v>822</v>
      </c>
      <c r="F18" s="273"/>
      <c r="G18" s="7">
        <v>1</v>
      </c>
      <c r="H18" s="7"/>
      <c r="I18" s="8"/>
      <c r="J18" s="7"/>
      <c r="K18" s="8"/>
      <c r="L18" s="7"/>
      <c r="M18" s="7">
        <v>1</v>
      </c>
      <c r="N18" s="7"/>
      <c r="O18" s="8"/>
      <c r="P18" s="7"/>
      <c r="Q18" s="8"/>
      <c r="R18" s="7">
        <f t="shared" ref="R18:R20" si="1">SUM(F18:Q18)</f>
        <v>2</v>
      </c>
      <c r="S18" s="280">
        <v>1250</v>
      </c>
      <c r="T18" s="15">
        <f t="shared" ref="T18:T19" si="2">S18*R18</f>
        <v>2500</v>
      </c>
    </row>
    <row r="19" spans="2:20" s="45" customFormat="1" x14ac:dyDescent="0.2">
      <c r="B19" s="30"/>
      <c r="C19" s="30"/>
      <c r="D19" s="272" t="s">
        <v>824</v>
      </c>
      <c r="E19" s="279" t="s">
        <v>822</v>
      </c>
      <c r="F19" s="273"/>
      <c r="G19" s="7">
        <v>1</v>
      </c>
      <c r="H19" s="7"/>
      <c r="I19" s="8"/>
      <c r="J19" s="7"/>
      <c r="K19" s="8"/>
      <c r="L19" s="7"/>
      <c r="M19" s="7">
        <v>1</v>
      </c>
      <c r="N19" s="7"/>
      <c r="O19" s="8"/>
      <c r="P19" s="7"/>
      <c r="Q19" s="8"/>
      <c r="R19" s="7">
        <f t="shared" si="1"/>
        <v>2</v>
      </c>
      <c r="S19" s="280">
        <v>650</v>
      </c>
      <c r="T19" s="15">
        <f t="shared" si="2"/>
        <v>1300</v>
      </c>
    </row>
    <row r="20" spans="2:20" s="45" customFormat="1" x14ac:dyDescent="0.2">
      <c r="B20" s="30"/>
      <c r="C20" s="30"/>
      <c r="D20" s="281" t="s">
        <v>825</v>
      </c>
      <c r="E20" s="279" t="s">
        <v>822</v>
      </c>
      <c r="F20" s="7"/>
      <c r="G20" s="7">
        <v>1</v>
      </c>
      <c r="H20" s="7"/>
      <c r="I20" s="8"/>
      <c r="J20" s="7"/>
      <c r="K20" s="8"/>
      <c r="L20" s="7"/>
      <c r="M20" s="7">
        <v>1</v>
      </c>
      <c r="N20" s="7"/>
      <c r="O20" s="8"/>
      <c r="P20" s="7"/>
      <c r="Q20" s="8"/>
      <c r="R20" s="7">
        <f t="shared" si="1"/>
        <v>2</v>
      </c>
      <c r="S20" s="280">
        <v>1850</v>
      </c>
      <c r="T20" s="15">
        <f>+S20*R20</f>
        <v>3700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>
        <f t="shared" ref="T21:T24" si="3">+S21*R21</f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>
        <f t="shared" si="3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>
        <f t="shared" si="3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>
        <f t="shared" si="3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7750.7984000000006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56193.288400000005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V52"/>
  <sheetViews>
    <sheetView topLeftCell="C1" zoomScale="90" zoomScaleNormal="90" workbookViewId="0">
      <selection activeCell="M18" sqref="M1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2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</row>
    <row r="6" spans="2:22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</row>
    <row r="7" spans="2:22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</row>
    <row r="8" spans="2:22" s="2" customFormat="1" ht="11.25" x14ac:dyDescent="0.2">
      <c r="B8" s="292" t="s">
        <v>19</v>
      </c>
      <c r="C8" s="292"/>
      <c r="D8" s="10" t="s">
        <v>693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3.5" thickBot="1" x14ac:dyDescent="0.25"/>
    <row r="10" spans="2:22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2" s="183" customFormat="1" ht="11.25" x14ac:dyDescent="0.2">
      <c r="B11" s="14">
        <v>1</v>
      </c>
      <c r="C11" s="7" t="s">
        <v>50</v>
      </c>
      <c r="D11" s="194" t="s">
        <v>694</v>
      </c>
      <c r="E11" s="202" t="s">
        <v>168</v>
      </c>
      <c r="F11" s="7"/>
      <c r="G11" s="7"/>
      <c r="H11" s="7"/>
      <c r="I11" s="200">
        <v>1</v>
      </c>
      <c r="J11" s="200"/>
      <c r="K11" s="7"/>
      <c r="L11" s="7"/>
      <c r="M11" s="7"/>
      <c r="N11" s="7"/>
      <c r="O11" s="7"/>
      <c r="P11" s="7"/>
      <c r="Q11" s="7"/>
      <c r="R11" s="7">
        <f t="shared" ref="R11:R13" si="0">SUM(F11:Q11)</f>
        <v>1</v>
      </c>
      <c r="S11" s="193">
        <v>1500</v>
      </c>
      <c r="T11" s="15">
        <f>+R11*S11</f>
        <v>1500</v>
      </c>
    </row>
    <row r="12" spans="2:22" s="183" customFormat="1" ht="11.25" x14ac:dyDescent="0.2">
      <c r="B12" s="14">
        <v>2</v>
      </c>
      <c r="C12" s="7" t="s">
        <v>50</v>
      </c>
      <c r="D12" s="184" t="s">
        <v>695</v>
      </c>
      <c r="E12" s="185" t="s">
        <v>696</v>
      </c>
      <c r="F12" s="7"/>
      <c r="G12" s="7"/>
      <c r="H12" s="7"/>
      <c r="I12" s="201">
        <v>1</v>
      </c>
      <c r="J12" s="201"/>
      <c r="K12" s="7"/>
      <c r="L12" s="7"/>
      <c r="M12" s="7"/>
      <c r="N12" s="7"/>
      <c r="O12" s="7"/>
      <c r="P12" s="7"/>
      <c r="Q12" s="7"/>
      <c r="R12" s="157">
        <f t="shared" si="0"/>
        <v>1</v>
      </c>
      <c r="S12" s="186">
        <v>1200</v>
      </c>
      <c r="T12" s="15">
        <f t="shared" ref="T12:T13" si="1">+R12*S12</f>
        <v>1200</v>
      </c>
    </row>
    <row r="13" spans="2:22" s="183" customFormat="1" ht="11.25" x14ac:dyDescent="0.2">
      <c r="B13" s="14">
        <v>3</v>
      </c>
      <c r="C13" s="7" t="s">
        <v>50</v>
      </c>
      <c r="D13" s="184" t="s">
        <v>697</v>
      </c>
      <c r="E13" s="185" t="s">
        <v>696</v>
      </c>
      <c r="F13" s="7"/>
      <c r="G13" s="7"/>
      <c r="H13" s="7"/>
      <c r="I13" s="201">
        <v>1</v>
      </c>
      <c r="J13" s="201"/>
      <c r="K13" s="7"/>
      <c r="L13" s="7"/>
      <c r="M13" s="7"/>
      <c r="N13" s="7"/>
      <c r="O13" s="7"/>
      <c r="P13" s="7"/>
      <c r="Q13" s="7"/>
      <c r="R13" s="157">
        <f t="shared" si="0"/>
        <v>1</v>
      </c>
      <c r="S13" s="186">
        <v>1200</v>
      </c>
      <c r="T13" s="15">
        <f t="shared" si="1"/>
        <v>1200</v>
      </c>
    </row>
    <row r="14" spans="2:22" x14ac:dyDescent="0.2">
      <c r="B14" s="14"/>
      <c r="C14" s="7"/>
      <c r="D14" s="184"/>
      <c r="E14" s="185"/>
      <c r="F14" s="7"/>
      <c r="G14" s="7"/>
      <c r="H14" s="7"/>
      <c r="I14" s="201"/>
      <c r="J14" s="201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2" x14ac:dyDescent="0.2">
      <c r="B15" s="14"/>
      <c r="C15" s="7"/>
      <c r="D15" s="184"/>
      <c r="E15" s="185"/>
      <c r="F15" s="7"/>
      <c r="G15" s="7"/>
      <c r="H15" s="7"/>
      <c r="I15" s="201"/>
      <c r="J15" s="201"/>
      <c r="K15" s="7"/>
      <c r="L15" s="7"/>
      <c r="M15" s="7"/>
      <c r="N15" s="7"/>
      <c r="O15" s="7"/>
      <c r="P15" s="7"/>
      <c r="Q15" s="7"/>
      <c r="R15" s="157"/>
      <c r="S15" s="186"/>
      <c r="T15" s="15"/>
    </row>
    <row r="16" spans="2:22" x14ac:dyDescent="0.2">
      <c r="B16" s="14"/>
      <c r="C16" s="7"/>
      <c r="D16" s="184"/>
      <c r="E16" s="185"/>
      <c r="F16" s="7"/>
      <c r="G16" s="7"/>
      <c r="H16" s="7"/>
      <c r="I16" s="7"/>
      <c r="J16" s="201"/>
      <c r="K16" s="7"/>
      <c r="L16" s="7"/>
      <c r="M16" s="7"/>
      <c r="N16" s="7"/>
      <c r="O16" s="7"/>
      <c r="P16" s="7"/>
      <c r="Q16" s="7"/>
      <c r="R16" s="157"/>
      <c r="S16" s="186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201"/>
      <c r="K17" s="7"/>
      <c r="L17" s="7"/>
      <c r="M17" s="7"/>
      <c r="N17" s="7"/>
      <c r="O17" s="7"/>
      <c r="P17" s="7"/>
      <c r="Q17" s="7"/>
      <c r="R17" s="157"/>
      <c r="S17" s="186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624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4524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E1" workbookViewId="0">
      <selection activeCell="U18" sqref="U18"/>
    </sheetView>
  </sheetViews>
  <sheetFormatPr baseColWidth="10" defaultRowHeight="12.75" x14ac:dyDescent="0.2"/>
  <cols>
    <col min="4" max="4" width="35.85546875" customWidth="1"/>
    <col min="6" max="17" width="9.57031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532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533</v>
      </c>
      <c r="E11" s="135" t="s">
        <v>164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54">
        <v>4287</v>
      </c>
      <c r="Q11" s="134"/>
      <c r="R11" s="155">
        <v>4287</v>
      </c>
      <c r="S11" s="153">
        <v>2.1903419999999998</v>
      </c>
      <c r="T11" s="138">
        <f>S11*R11</f>
        <v>9389.9961539999986</v>
      </c>
    </row>
    <row r="12" spans="1:20" ht="13.5" thickBot="1" x14ac:dyDescent="0.25">
      <c r="B12" s="14"/>
      <c r="C12" s="135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38"/>
    </row>
    <row r="13" spans="1:20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0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9389.9961539999986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/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9389.9961539999986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V52"/>
  <sheetViews>
    <sheetView zoomScale="90" zoomScaleNormal="90" workbookViewId="0">
      <selection activeCell="M22" sqref="M2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2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</row>
    <row r="6" spans="2:22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</row>
    <row r="7" spans="2:22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</row>
    <row r="8" spans="2:22" s="2" customFormat="1" ht="11.25" x14ac:dyDescent="0.2">
      <c r="B8" s="292" t="s">
        <v>19</v>
      </c>
      <c r="C8" s="292"/>
      <c r="D8" s="10" t="s">
        <v>698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3.5" thickBot="1" x14ac:dyDescent="0.25"/>
    <row r="10" spans="2:22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2" s="183" customFormat="1" ht="11.25" x14ac:dyDescent="0.2">
      <c r="B11" s="14">
        <v>1</v>
      </c>
      <c r="C11" s="7" t="s">
        <v>50</v>
      </c>
      <c r="D11" s="194" t="s">
        <v>699</v>
      </c>
      <c r="E11" s="202" t="s">
        <v>493</v>
      </c>
      <c r="F11" s="7"/>
      <c r="G11" s="7"/>
      <c r="H11" s="7"/>
      <c r="I11" s="7"/>
      <c r="J11" s="200">
        <v>10</v>
      </c>
      <c r="K11" s="7"/>
      <c r="L11" s="7"/>
      <c r="M11" s="7"/>
      <c r="N11" s="7"/>
      <c r="O11" s="7"/>
      <c r="P11" s="7"/>
      <c r="Q11" s="7"/>
      <c r="R11" s="7">
        <f t="shared" ref="R11:R15" si="0">SUM(F11:Q11)</f>
        <v>10</v>
      </c>
      <c r="S11" s="193">
        <v>400</v>
      </c>
      <c r="T11" s="15">
        <f>+R11*S11</f>
        <v>4000</v>
      </c>
    </row>
    <row r="12" spans="2:22" s="183" customFormat="1" ht="11.25" x14ac:dyDescent="0.2">
      <c r="B12" s="14">
        <v>2</v>
      </c>
      <c r="C12" s="7" t="s">
        <v>50</v>
      </c>
      <c r="D12" s="184" t="s">
        <v>700</v>
      </c>
      <c r="E12" s="185" t="s">
        <v>493</v>
      </c>
      <c r="F12" s="7"/>
      <c r="G12" s="7"/>
      <c r="H12" s="7"/>
      <c r="I12" s="7"/>
      <c r="J12" s="201">
        <v>1</v>
      </c>
      <c r="K12" s="7"/>
      <c r="L12" s="7"/>
      <c r="M12" s="7"/>
      <c r="N12" s="7"/>
      <c r="O12" s="7"/>
      <c r="P12" s="7"/>
      <c r="Q12" s="7"/>
      <c r="R12" s="157">
        <f t="shared" si="0"/>
        <v>1</v>
      </c>
      <c r="S12" s="186">
        <v>1500</v>
      </c>
      <c r="T12" s="15">
        <f t="shared" ref="T12:T15" si="1">+R12*S12</f>
        <v>1500</v>
      </c>
    </row>
    <row r="13" spans="2:22" s="183" customFormat="1" ht="11.25" x14ac:dyDescent="0.2">
      <c r="B13" s="14">
        <v>3</v>
      </c>
      <c r="C13" s="7" t="s">
        <v>50</v>
      </c>
      <c r="D13" s="184" t="s">
        <v>701</v>
      </c>
      <c r="E13" s="185" t="s">
        <v>702</v>
      </c>
      <c r="F13" s="7"/>
      <c r="G13" s="7"/>
      <c r="H13" s="7"/>
      <c r="I13" s="7"/>
      <c r="J13" s="201">
        <v>1</v>
      </c>
      <c r="K13" s="7"/>
      <c r="L13" s="7"/>
      <c r="M13" s="7"/>
      <c r="N13" s="7"/>
      <c r="O13" s="7"/>
      <c r="P13" s="7"/>
      <c r="Q13" s="7"/>
      <c r="R13" s="157">
        <f t="shared" si="0"/>
        <v>1</v>
      </c>
      <c r="S13" s="186">
        <v>1600</v>
      </c>
      <c r="T13" s="15">
        <f t="shared" si="1"/>
        <v>1600</v>
      </c>
    </row>
    <row r="14" spans="2:22" x14ac:dyDescent="0.2">
      <c r="B14" s="14">
        <v>4</v>
      </c>
      <c r="C14" s="7" t="s">
        <v>50</v>
      </c>
      <c r="D14" s="184" t="s">
        <v>703</v>
      </c>
      <c r="E14" s="185" t="s">
        <v>341</v>
      </c>
      <c r="F14" s="7"/>
      <c r="G14" s="7"/>
      <c r="H14" s="7"/>
      <c r="I14" s="7"/>
      <c r="J14" s="201">
        <v>1</v>
      </c>
      <c r="K14" s="7"/>
      <c r="L14" s="7"/>
      <c r="M14" s="7"/>
      <c r="N14" s="7"/>
      <c r="O14" s="7"/>
      <c r="P14" s="7"/>
      <c r="Q14" s="7"/>
      <c r="R14" s="157">
        <f t="shared" si="0"/>
        <v>1</v>
      </c>
      <c r="S14" s="186">
        <v>1500</v>
      </c>
      <c r="T14" s="15">
        <f t="shared" si="1"/>
        <v>1500</v>
      </c>
    </row>
    <row r="15" spans="2:22" x14ac:dyDescent="0.2">
      <c r="B15" s="14">
        <v>5</v>
      </c>
      <c r="C15" s="7" t="s">
        <v>50</v>
      </c>
      <c r="D15" s="184" t="s">
        <v>704</v>
      </c>
      <c r="E15" s="185" t="s">
        <v>493</v>
      </c>
      <c r="F15" s="7"/>
      <c r="G15" s="7"/>
      <c r="H15" s="7"/>
      <c r="I15" s="7"/>
      <c r="J15" s="201">
        <v>3</v>
      </c>
      <c r="K15" s="7"/>
      <c r="L15" s="7"/>
      <c r="M15" s="7"/>
      <c r="N15" s="7"/>
      <c r="O15" s="7"/>
      <c r="P15" s="7"/>
      <c r="Q15" s="7"/>
      <c r="R15" s="157">
        <f t="shared" si="0"/>
        <v>3</v>
      </c>
      <c r="S15" s="186">
        <v>110</v>
      </c>
      <c r="T15" s="15">
        <f t="shared" si="1"/>
        <v>330</v>
      </c>
    </row>
    <row r="16" spans="2:22" x14ac:dyDescent="0.2">
      <c r="B16" s="14"/>
      <c r="C16" s="7"/>
      <c r="D16" s="184"/>
      <c r="E16" s="185"/>
      <c r="F16" s="7"/>
      <c r="G16" s="7"/>
      <c r="H16" s="7"/>
      <c r="I16" s="7"/>
      <c r="J16" s="201"/>
      <c r="K16" s="7"/>
      <c r="L16" s="7"/>
      <c r="M16" s="7"/>
      <c r="N16" s="7"/>
      <c r="O16" s="7"/>
      <c r="P16" s="7"/>
      <c r="Q16" s="7"/>
      <c r="R16" s="157"/>
      <c r="S16" s="186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201"/>
      <c r="K17" s="7"/>
      <c r="L17" s="7"/>
      <c r="M17" s="7"/>
      <c r="N17" s="7"/>
      <c r="O17" s="7"/>
      <c r="P17" s="7"/>
      <c r="Q17" s="7"/>
      <c r="R17" s="157"/>
      <c r="S17" s="186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1428.8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10358.799999999999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F7" workbookViewId="0">
      <selection activeCell="T47" sqref="T4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495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33.75" x14ac:dyDescent="0.2">
      <c r="B11" s="131">
        <v>1</v>
      </c>
      <c r="C11" s="135" t="s">
        <v>50</v>
      </c>
      <c r="D11" s="143" t="s">
        <v>496</v>
      </c>
      <c r="E11" s="7" t="s">
        <v>497</v>
      </c>
      <c r="F11" s="135">
        <f>R11</f>
        <v>1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44">
        <v>1</v>
      </c>
      <c r="S11" s="148">
        <f>226200/1.16</f>
        <v>195000</v>
      </c>
      <c r="T11" s="138">
        <f>S11*R11</f>
        <v>195000</v>
      </c>
    </row>
    <row r="12" spans="2:25" x14ac:dyDescent="0.2">
      <c r="B12" s="14"/>
      <c r="C12" s="7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44"/>
      <c r="S12" s="145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195000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31200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226200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19"/>
  <sheetViews>
    <sheetView topLeftCell="H1" workbookViewId="0">
      <selection activeCell="O34" sqref="O3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10.28515625" bestFit="1" customWidth="1"/>
    <col min="8" max="8" width="8.285156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3.42578125" bestFit="1" customWidth="1"/>
    <col min="15" max="15" width="10.28515625" bestFit="1" customWidth="1"/>
    <col min="16" max="16" width="12.42578125" bestFit="1" customWidth="1"/>
    <col min="17" max="17" width="11.710937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762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30">
        <v>1</v>
      </c>
      <c r="C11" s="30" t="s">
        <v>50</v>
      </c>
      <c r="D11" s="31" t="s">
        <v>763</v>
      </c>
      <c r="E11" s="30" t="s">
        <v>52</v>
      </c>
      <c r="F11" s="66"/>
      <c r="G11" s="66">
        <v>2</v>
      </c>
      <c r="H11" s="66"/>
      <c r="I11" s="30">
        <v>2</v>
      </c>
      <c r="J11" s="30"/>
      <c r="K11" s="30"/>
      <c r="L11" s="66">
        <v>2</v>
      </c>
      <c r="M11" s="70"/>
      <c r="N11" s="66"/>
      <c r="O11" s="30">
        <v>1</v>
      </c>
      <c r="P11" s="57"/>
      <c r="Q11" s="57"/>
      <c r="R11" s="30">
        <f t="shared" ref="R11" si="0">+SUM(F11:Q11)</f>
        <v>7</v>
      </c>
      <c r="S11" s="95">
        <v>55.42</v>
      </c>
      <c r="T11" s="59">
        <f>S11*R11</f>
        <v>387.94</v>
      </c>
    </row>
    <row r="12" spans="2:25" x14ac:dyDescent="0.2">
      <c r="B12" s="13"/>
      <c r="C12" s="13"/>
      <c r="D12" s="1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" t="s">
        <v>18</v>
      </c>
      <c r="T12" s="26">
        <v>62.06</v>
      </c>
    </row>
    <row r="13" spans="2:25" x14ac:dyDescent="0.2">
      <c r="B13" s="13"/>
      <c r="C13" s="13"/>
      <c r="D13" s="1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7" t="s">
        <v>17</v>
      </c>
      <c r="T13" s="28">
        <f>SUM(T11:T12)</f>
        <v>450</v>
      </c>
    </row>
    <row r="14" spans="2:25" x14ac:dyDescent="0.2">
      <c r="B14" s="13"/>
      <c r="C14" s="13"/>
      <c r="D14" s="1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"/>
      <c r="T14" s="11"/>
    </row>
    <row r="15" spans="2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2"/>
    </row>
    <row r="16" spans="2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2:20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x14ac:dyDescent="0.2">
      <c r="D19" s="223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topLeftCell="G1" zoomScale="90" zoomScaleNormal="90" workbookViewId="0">
      <selection activeCell="N39" sqref="N3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705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194" t="s">
        <v>706</v>
      </c>
      <c r="E11" s="202" t="s">
        <v>168</v>
      </c>
      <c r="F11" s="7"/>
      <c r="G11" s="7"/>
      <c r="H11" s="7"/>
      <c r="I11" s="7">
        <v>25</v>
      </c>
      <c r="J11" s="200"/>
      <c r="K11" s="7"/>
      <c r="L11" s="7">
        <v>25</v>
      </c>
      <c r="M11" s="7"/>
      <c r="N11" s="7"/>
      <c r="O11" s="7"/>
      <c r="P11" s="7"/>
      <c r="Q11" s="7"/>
      <c r="R11" s="7">
        <f t="shared" ref="R11:R19" si="0">SUM(F11:Q11)</f>
        <v>50</v>
      </c>
      <c r="S11" s="193">
        <v>38</v>
      </c>
      <c r="T11" s="15">
        <f>+R11*S11</f>
        <v>1900</v>
      </c>
    </row>
    <row r="12" spans="2:21" s="183" customFormat="1" ht="11.25" x14ac:dyDescent="0.2">
      <c r="B12" s="14">
        <v>2</v>
      </c>
      <c r="C12" s="7" t="s">
        <v>50</v>
      </c>
      <c r="D12" s="184" t="s">
        <v>707</v>
      </c>
      <c r="E12" s="185" t="s">
        <v>493</v>
      </c>
      <c r="F12" s="7"/>
      <c r="G12" s="7"/>
      <c r="H12" s="7"/>
      <c r="I12" s="7">
        <v>30</v>
      </c>
      <c r="J12" s="201"/>
      <c r="K12" s="7"/>
      <c r="L12" s="7"/>
      <c r="M12" s="7"/>
      <c r="N12" s="7"/>
      <c r="O12" s="7"/>
      <c r="P12" s="7"/>
      <c r="Q12" s="7"/>
      <c r="R12" s="157">
        <f t="shared" si="0"/>
        <v>30</v>
      </c>
      <c r="S12" s="186">
        <v>15</v>
      </c>
      <c r="T12" s="15">
        <f t="shared" ref="T12:T19" si="1">+R12*S12</f>
        <v>450</v>
      </c>
    </row>
    <row r="13" spans="2:21" s="183" customFormat="1" ht="11.25" x14ac:dyDescent="0.2">
      <c r="B13" s="14">
        <v>3</v>
      </c>
      <c r="C13" s="7" t="s">
        <v>50</v>
      </c>
      <c r="D13" s="184" t="s">
        <v>708</v>
      </c>
      <c r="E13" s="185" t="s">
        <v>493</v>
      </c>
      <c r="F13" s="7"/>
      <c r="G13" s="7"/>
      <c r="H13" s="7"/>
      <c r="I13" s="7">
        <v>30</v>
      </c>
      <c r="J13" s="201"/>
      <c r="K13" s="7"/>
      <c r="L13" s="7"/>
      <c r="M13" s="7"/>
      <c r="N13" s="7"/>
      <c r="O13" s="7"/>
      <c r="P13" s="7"/>
      <c r="Q13" s="7"/>
      <c r="R13" s="157">
        <f t="shared" si="0"/>
        <v>30</v>
      </c>
      <c r="S13" s="186">
        <v>22</v>
      </c>
      <c r="T13" s="15">
        <f t="shared" si="1"/>
        <v>660</v>
      </c>
    </row>
    <row r="14" spans="2:21" x14ac:dyDescent="0.2">
      <c r="B14" s="14">
        <v>4</v>
      </c>
      <c r="C14" s="7" t="s">
        <v>50</v>
      </c>
      <c r="D14" s="184" t="s">
        <v>709</v>
      </c>
      <c r="E14" s="185" t="s">
        <v>493</v>
      </c>
      <c r="F14" s="7"/>
      <c r="G14" s="7"/>
      <c r="H14" s="7"/>
      <c r="I14" s="7">
        <v>30</v>
      </c>
      <c r="J14" s="201"/>
      <c r="K14" s="7"/>
      <c r="L14" s="7"/>
      <c r="M14" s="7"/>
      <c r="N14" s="7"/>
      <c r="O14" s="7"/>
      <c r="P14" s="7"/>
      <c r="Q14" s="7"/>
      <c r="R14" s="157">
        <f t="shared" si="0"/>
        <v>30</v>
      </c>
      <c r="S14" s="186">
        <v>20</v>
      </c>
      <c r="T14" s="15">
        <f t="shared" si="1"/>
        <v>600</v>
      </c>
    </row>
    <row r="15" spans="2:21" x14ac:dyDescent="0.2">
      <c r="B15" s="14">
        <v>5</v>
      </c>
      <c r="C15" s="7" t="s">
        <v>50</v>
      </c>
      <c r="D15" s="184" t="s">
        <v>710</v>
      </c>
      <c r="E15" s="185" t="s">
        <v>493</v>
      </c>
      <c r="F15" s="7"/>
      <c r="G15" s="7"/>
      <c r="H15" s="7"/>
      <c r="I15" s="7">
        <v>25</v>
      </c>
      <c r="J15" s="201"/>
      <c r="K15" s="7"/>
      <c r="L15" s="7"/>
      <c r="M15" s="7"/>
      <c r="N15" s="7"/>
      <c r="O15" s="7"/>
      <c r="P15" s="7"/>
      <c r="Q15" s="7"/>
      <c r="R15" s="157">
        <f t="shared" si="0"/>
        <v>25</v>
      </c>
      <c r="S15" s="186">
        <v>22</v>
      </c>
      <c r="T15" s="15">
        <f t="shared" si="1"/>
        <v>550</v>
      </c>
    </row>
    <row r="16" spans="2:21" x14ac:dyDescent="0.2">
      <c r="B16" s="14">
        <v>6</v>
      </c>
      <c r="C16" s="7" t="s">
        <v>50</v>
      </c>
      <c r="D16" s="184" t="s">
        <v>711</v>
      </c>
      <c r="E16" s="185" t="s">
        <v>493</v>
      </c>
      <c r="F16" s="7"/>
      <c r="G16" s="7"/>
      <c r="H16" s="7"/>
      <c r="I16" s="7">
        <v>30</v>
      </c>
      <c r="J16" s="201"/>
      <c r="K16" s="7"/>
      <c r="L16" s="7"/>
      <c r="M16" s="7"/>
      <c r="N16" s="7"/>
      <c r="O16" s="7"/>
      <c r="P16" s="7"/>
      <c r="Q16" s="7"/>
      <c r="R16" s="157">
        <f t="shared" si="0"/>
        <v>30</v>
      </c>
      <c r="S16" s="186">
        <v>21</v>
      </c>
      <c r="T16" s="15">
        <f t="shared" si="1"/>
        <v>630</v>
      </c>
    </row>
    <row r="17" spans="2:20" x14ac:dyDescent="0.2">
      <c r="B17" s="14">
        <v>7</v>
      </c>
      <c r="C17" s="7" t="s">
        <v>50</v>
      </c>
      <c r="D17" s="184" t="s">
        <v>712</v>
      </c>
      <c r="E17" s="185" t="s">
        <v>168</v>
      </c>
      <c r="F17" s="7"/>
      <c r="G17" s="7"/>
      <c r="H17" s="7"/>
      <c r="I17" s="7">
        <v>3</v>
      </c>
      <c r="J17" s="201"/>
      <c r="K17" s="7"/>
      <c r="L17" s="7">
        <v>2</v>
      </c>
      <c r="M17" s="7"/>
      <c r="N17" s="7"/>
      <c r="O17" s="7"/>
      <c r="P17" s="7"/>
      <c r="Q17" s="7"/>
      <c r="R17" s="157">
        <f t="shared" si="0"/>
        <v>5</v>
      </c>
      <c r="S17" s="186">
        <v>150</v>
      </c>
      <c r="T17" s="15">
        <f t="shared" si="1"/>
        <v>750</v>
      </c>
    </row>
    <row r="18" spans="2:20" x14ac:dyDescent="0.2">
      <c r="B18" s="14">
        <v>8</v>
      </c>
      <c r="C18" s="7" t="s">
        <v>50</v>
      </c>
      <c r="D18" s="184" t="s">
        <v>713</v>
      </c>
      <c r="E18" s="185" t="s">
        <v>493</v>
      </c>
      <c r="F18" s="7"/>
      <c r="G18" s="7"/>
      <c r="H18" s="7"/>
      <c r="I18" s="7">
        <v>30</v>
      </c>
      <c r="J18" s="7"/>
      <c r="K18" s="7"/>
      <c r="L18" s="7"/>
      <c r="M18" s="7"/>
      <c r="N18" s="7"/>
      <c r="O18" s="7"/>
      <c r="P18" s="7"/>
      <c r="Q18" s="7"/>
      <c r="R18" s="157">
        <f t="shared" si="0"/>
        <v>30</v>
      </c>
      <c r="S18" s="186">
        <v>22</v>
      </c>
      <c r="T18" s="15">
        <f t="shared" si="1"/>
        <v>660</v>
      </c>
    </row>
    <row r="19" spans="2:20" x14ac:dyDescent="0.2">
      <c r="B19" s="14">
        <v>9</v>
      </c>
      <c r="C19" s="7" t="s">
        <v>50</v>
      </c>
      <c r="D19" s="184" t="s">
        <v>714</v>
      </c>
      <c r="E19" s="185" t="s">
        <v>168</v>
      </c>
      <c r="F19" s="7"/>
      <c r="G19" s="8"/>
      <c r="H19" s="7"/>
      <c r="I19" s="7">
        <v>10</v>
      </c>
      <c r="J19" s="7"/>
      <c r="K19" s="8"/>
      <c r="L19" s="7"/>
      <c r="M19" s="8"/>
      <c r="N19" s="7"/>
      <c r="O19" s="8"/>
      <c r="P19" s="8"/>
      <c r="Q19" s="8"/>
      <c r="R19" s="157">
        <f t="shared" si="0"/>
        <v>10</v>
      </c>
      <c r="S19" s="186">
        <v>200</v>
      </c>
      <c r="T19" s="15">
        <f t="shared" si="1"/>
        <v>2000</v>
      </c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57"/>
      <c r="S20" s="186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57"/>
      <c r="S21" s="186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1312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9512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E8" workbookViewId="0">
      <selection activeCell="S12" sqref="S12"/>
    </sheetView>
  </sheetViews>
  <sheetFormatPr baseColWidth="10" defaultRowHeight="12.75" x14ac:dyDescent="0.2"/>
  <cols>
    <col min="4" max="4" width="33.85546875" customWidth="1"/>
    <col min="6" max="13" width="8.28515625" customWidth="1"/>
    <col min="14" max="14" width="10.42578125" customWidth="1"/>
    <col min="15" max="15" width="8.28515625" customWidth="1"/>
    <col min="16" max="16" width="9.28515625" customWidth="1"/>
    <col min="17" max="17" width="10.140625" customWidth="1"/>
    <col min="20" max="20" width="13.42578125" customWidth="1"/>
  </cols>
  <sheetData>
    <row r="1" spans="1:21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1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1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1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1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1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1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1" x14ac:dyDescent="0.2">
      <c r="A8" s="2"/>
      <c r="B8" s="292" t="s">
        <v>19</v>
      </c>
      <c r="C8" s="292"/>
      <c r="D8" s="10" t="s">
        <v>538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1" ht="13.5" thickBot="1" x14ac:dyDescent="0.25"/>
    <row r="10" spans="1:21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1" ht="13.5" thickBot="1" x14ac:dyDescent="0.25">
      <c r="B11" s="131">
        <v>1</v>
      </c>
      <c r="C11" s="135" t="s">
        <v>528</v>
      </c>
      <c r="D11" s="135" t="s">
        <v>539</v>
      </c>
      <c r="E11" s="135" t="s">
        <v>540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54">
        <v>53950</v>
      </c>
      <c r="Q11" s="134"/>
      <c r="R11" s="155">
        <v>53950</v>
      </c>
      <c r="S11" s="153">
        <v>5.160037</v>
      </c>
      <c r="T11" s="138">
        <f>S11*R11</f>
        <v>278383.99615000002</v>
      </c>
      <c r="U11">
        <v>278384</v>
      </c>
    </row>
    <row r="12" spans="1:21" ht="13.5" thickBot="1" x14ac:dyDescent="0.25">
      <c r="B12" s="14"/>
      <c r="C12" s="135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38"/>
    </row>
    <row r="13" spans="1:21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1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1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1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v>239984.48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f>T46*16%</f>
        <v>38397.516800000005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278381.99680000002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K4" zoomScale="115" zoomScaleNormal="115" workbookViewId="0">
      <selection activeCell="U9" sqref="U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173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>
        <v>26101</v>
      </c>
      <c r="D11" s="32" t="s">
        <v>174</v>
      </c>
      <c r="E11" s="33" t="s">
        <v>144</v>
      </c>
      <c r="F11" s="66">
        <f>522+700</f>
        <v>1222</v>
      </c>
      <c r="G11" s="66">
        <f>77.86+205+317.39+700+3400</f>
        <v>4700.25</v>
      </c>
      <c r="H11" s="66">
        <f>205+317.39+700</f>
        <v>1222.3899999999999</v>
      </c>
      <c r="I11" s="66">
        <f>205+317.39+700</f>
        <v>1222.3899999999999</v>
      </c>
      <c r="J11" s="66">
        <f>205+317.39+700+3400</f>
        <v>4622.3899999999994</v>
      </c>
      <c r="K11" s="66">
        <f t="shared" ref="K11:O11" si="0">205+317.39+700</f>
        <v>1222.3899999999999</v>
      </c>
      <c r="L11" s="66">
        <f t="shared" si="0"/>
        <v>1222.3899999999999</v>
      </c>
      <c r="M11" s="66">
        <f>205+317.39+700+3400</f>
        <v>4622.3899999999994</v>
      </c>
      <c r="N11" s="66">
        <f t="shared" si="0"/>
        <v>1222.3899999999999</v>
      </c>
      <c r="O11" s="66">
        <f t="shared" si="0"/>
        <v>1222.3899999999999</v>
      </c>
      <c r="P11" s="66">
        <f>205+317.39+17572.8+700+3425</f>
        <v>22220.19</v>
      </c>
      <c r="Q11" s="66">
        <f>205+317.39+700</f>
        <v>1222.3899999999999</v>
      </c>
      <c r="R11" s="53">
        <f>SUM(F11:Q11)</f>
        <v>45943.95</v>
      </c>
      <c r="S11" s="55">
        <v>20.190000000000001</v>
      </c>
      <c r="T11" s="56">
        <f>S11*R11</f>
        <v>927608.35049999994</v>
      </c>
    </row>
    <row r="12" spans="2:25" s="45" customFormat="1" x14ac:dyDescent="0.2">
      <c r="B12" s="30">
        <v>2</v>
      </c>
      <c r="C12" s="30">
        <v>26101</v>
      </c>
      <c r="D12" s="32" t="s">
        <v>175</v>
      </c>
      <c r="E12" s="33" t="s">
        <v>144</v>
      </c>
      <c r="F12" s="66"/>
      <c r="G12" s="66">
        <v>86.85</v>
      </c>
      <c r="H12" s="66"/>
      <c r="I12" s="30">
        <v>205</v>
      </c>
      <c r="J12" s="30"/>
      <c r="K12" s="57"/>
      <c r="L12" s="66"/>
      <c r="M12" s="66"/>
      <c r="N12" s="66"/>
      <c r="O12" s="30"/>
      <c r="P12" s="57"/>
      <c r="Q12" s="57"/>
      <c r="R12" s="30">
        <f>+SUM(F12:Q12)</f>
        <v>291.85000000000002</v>
      </c>
      <c r="S12" s="58">
        <v>22</v>
      </c>
      <c r="T12" s="59">
        <f>+S12*R12</f>
        <v>6420.7000000000007</v>
      </c>
    </row>
    <row r="13" spans="2:25" s="45" customFormat="1" x14ac:dyDescent="0.2">
      <c r="B13" s="30">
        <v>3</v>
      </c>
      <c r="C13" s="30">
        <v>26101</v>
      </c>
      <c r="D13" s="32" t="s">
        <v>175</v>
      </c>
      <c r="E13" s="33" t="s">
        <v>144</v>
      </c>
      <c r="F13" s="66"/>
      <c r="G13" s="66">
        <v>62.11</v>
      </c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62.11</v>
      </c>
      <c r="S13" s="58">
        <v>22</v>
      </c>
      <c r="T13" s="59">
        <f>+S13*R13</f>
        <v>1366.42</v>
      </c>
    </row>
    <row r="14" spans="2:25" s="45" customFormat="1" x14ac:dyDescent="0.2">
      <c r="B14" s="30">
        <v>4</v>
      </c>
      <c r="C14" s="30">
        <v>26101</v>
      </c>
      <c r="D14" s="32" t="s">
        <v>175</v>
      </c>
      <c r="E14" s="33" t="s">
        <v>144</v>
      </c>
      <c r="F14" s="66"/>
      <c r="G14" s="66">
        <f>27.87+73.05</f>
        <v>100.92</v>
      </c>
      <c r="H14" s="66"/>
      <c r="I14" s="30"/>
      <c r="J14" s="30">
        <f>33.17+30</f>
        <v>63.17</v>
      </c>
      <c r="K14" s="57"/>
      <c r="L14" s="66">
        <f>31.09+38.32+18.14+30.3+10.72</f>
        <v>128.57</v>
      </c>
      <c r="M14" s="66">
        <f>43.08+61.53+35.89+35.66</f>
        <v>176.16</v>
      </c>
      <c r="N14" s="66">
        <f>54.46+27.4+50.3</f>
        <v>132.16</v>
      </c>
      <c r="O14" s="30"/>
      <c r="P14" s="57"/>
      <c r="Q14" s="57"/>
      <c r="R14" s="30">
        <f t="shared" ref="R14:R24" si="1">+SUM(F14:Q14)</f>
        <v>600.9799999999999</v>
      </c>
      <c r="S14" s="58">
        <v>22</v>
      </c>
      <c r="T14" s="59">
        <f>+S14*R14</f>
        <v>13221.559999999998</v>
      </c>
    </row>
    <row r="15" spans="2:25" s="45" customFormat="1" x14ac:dyDescent="0.2">
      <c r="B15" s="30">
        <v>5</v>
      </c>
      <c r="C15" s="30">
        <v>26101</v>
      </c>
      <c r="D15" s="32" t="s">
        <v>264</v>
      </c>
      <c r="E15" s="33" t="s">
        <v>144</v>
      </c>
      <c r="F15" s="66"/>
      <c r="G15" s="66"/>
      <c r="H15" s="66"/>
      <c r="I15" s="30">
        <v>2</v>
      </c>
      <c r="J15" s="30">
        <v>1</v>
      </c>
      <c r="K15" s="57"/>
      <c r="L15" s="66">
        <v>1</v>
      </c>
      <c r="M15" s="66"/>
      <c r="N15" s="66"/>
      <c r="O15" s="30"/>
      <c r="P15" s="57"/>
      <c r="Q15" s="57"/>
      <c r="R15" s="30">
        <f t="shared" si="1"/>
        <v>4</v>
      </c>
      <c r="S15" s="58">
        <v>150</v>
      </c>
      <c r="T15" s="59">
        <f>566.85+52.2+-295.8+493+638</f>
        <v>1454.25</v>
      </c>
    </row>
    <row r="16" spans="2:25" s="45" customFormat="1" ht="25.5" x14ac:dyDescent="0.2">
      <c r="B16" s="30">
        <v>6</v>
      </c>
      <c r="C16" s="30">
        <v>26101</v>
      </c>
      <c r="D16" s="36" t="s">
        <v>262</v>
      </c>
      <c r="E16" s="33" t="s">
        <v>85</v>
      </c>
      <c r="F16" s="66">
        <v>10</v>
      </c>
      <c r="G16" s="66"/>
      <c r="H16" s="66"/>
      <c r="I16" s="30">
        <v>12</v>
      </c>
      <c r="J16" s="30"/>
      <c r="K16" s="57">
        <v>10</v>
      </c>
      <c r="L16" s="66"/>
      <c r="M16" s="66">
        <v>10</v>
      </c>
      <c r="N16" s="66"/>
      <c r="O16" s="30"/>
      <c r="P16" s="57"/>
      <c r="Q16" s="57"/>
      <c r="R16" s="30">
        <f t="shared" si="1"/>
        <v>42</v>
      </c>
      <c r="S16" s="58">
        <v>100</v>
      </c>
      <c r="T16" s="59">
        <f>75+951.2</f>
        <v>1026.2</v>
      </c>
    </row>
    <row r="17" spans="2:20" s="45" customFormat="1" x14ac:dyDescent="0.2">
      <c r="B17" s="30">
        <v>7</v>
      </c>
      <c r="C17" s="30">
        <v>26101</v>
      </c>
      <c r="D17" s="32" t="s">
        <v>319</v>
      </c>
      <c r="E17" s="33" t="s">
        <v>85</v>
      </c>
      <c r="F17" s="66">
        <v>2</v>
      </c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2</v>
      </c>
      <c r="S17" s="58">
        <v>180</v>
      </c>
      <c r="T17" s="59">
        <f t="shared" ref="T17:T24" si="2">+S17*R17</f>
        <v>360</v>
      </c>
    </row>
    <row r="18" spans="2:20" s="45" customFormat="1" x14ac:dyDescent="0.2">
      <c r="B18" s="30">
        <v>8</v>
      </c>
      <c r="C18" s="30">
        <v>26101</v>
      </c>
      <c r="D18" s="32" t="s">
        <v>320</v>
      </c>
      <c r="E18" s="33" t="s">
        <v>85</v>
      </c>
      <c r="F18" s="66">
        <v>4</v>
      </c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4</v>
      </c>
      <c r="S18" s="58">
        <v>130</v>
      </c>
      <c r="T18" s="59">
        <f t="shared" si="2"/>
        <v>520</v>
      </c>
    </row>
    <row r="19" spans="2:20" s="45" customFormat="1" x14ac:dyDescent="0.2">
      <c r="B19" s="30">
        <v>9</v>
      </c>
      <c r="C19" s="30">
        <v>26101</v>
      </c>
      <c r="D19" s="32" t="s">
        <v>322</v>
      </c>
      <c r="E19" s="33" t="s">
        <v>85</v>
      </c>
      <c r="F19" s="66">
        <v>4</v>
      </c>
      <c r="G19" s="66"/>
      <c r="H19" s="66"/>
      <c r="I19" s="30"/>
      <c r="J19" s="30">
        <v>4</v>
      </c>
      <c r="K19" s="57"/>
      <c r="L19" s="66"/>
      <c r="M19" s="66"/>
      <c r="N19" s="66"/>
      <c r="O19" s="30"/>
      <c r="P19" s="57"/>
      <c r="Q19" s="57"/>
      <c r="R19" s="30">
        <f t="shared" si="1"/>
        <v>8</v>
      </c>
      <c r="S19" s="58">
        <v>190</v>
      </c>
      <c r="T19" s="59">
        <f t="shared" si="2"/>
        <v>1520</v>
      </c>
    </row>
    <row r="20" spans="2:20" s="45" customFormat="1" ht="25.5" x14ac:dyDescent="0.2">
      <c r="B20" s="30">
        <v>10</v>
      </c>
      <c r="C20" s="30">
        <v>26101</v>
      </c>
      <c r="D20" s="36" t="s">
        <v>321</v>
      </c>
      <c r="E20" s="33" t="s">
        <v>85</v>
      </c>
      <c r="F20" s="66">
        <v>4</v>
      </c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4</v>
      </c>
      <c r="S20" s="58">
        <v>140</v>
      </c>
      <c r="T20" s="59">
        <f t="shared" si="2"/>
        <v>560</v>
      </c>
    </row>
    <row r="21" spans="2:20" s="45" customFormat="1" x14ac:dyDescent="0.2">
      <c r="B21" s="30"/>
      <c r="C21" s="30"/>
      <c r="D21" s="31" t="s">
        <v>498</v>
      </c>
      <c r="E21" s="33" t="s">
        <v>85</v>
      </c>
      <c r="F21" s="66">
        <v>24</v>
      </c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24</v>
      </c>
      <c r="S21" s="58">
        <v>1083.4100000000001</v>
      </c>
      <c r="T21" s="59">
        <f t="shared" si="2"/>
        <v>26001.840000000004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156809.49127999996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1136868.8117799996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zoomScale="115" zoomScaleNormal="115" workbookViewId="0">
      <selection activeCell="D19" sqref="D19:T2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283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284</v>
      </c>
      <c r="E11" s="33" t="s">
        <v>85</v>
      </c>
      <c r="F11" s="66">
        <v>45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45</v>
      </c>
      <c r="S11" s="55">
        <v>280</v>
      </c>
      <c r="T11" s="56">
        <f>S11*R11</f>
        <v>12600</v>
      </c>
    </row>
    <row r="12" spans="2:25" s="45" customFormat="1" x14ac:dyDescent="0.2">
      <c r="B12" s="30"/>
      <c r="C12" s="30"/>
      <c r="D12" s="32" t="s">
        <v>384</v>
      </c>
      <c r="E12" s="33" t="s">
        <v>85</v>
      </c>
      <c r="F12" s="66">
        <v>20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20</v>
      </c>
      <c r="S12" s="58">
        <v>394.62</v>
      </c>
      <c r="T12" s="59">
        <f>+S12*R12</f>
        <v>7892.4</v>
      </c>
    </row>
    <row r="13" spans="2:25" s="45" customFormat="1" x14ac:dyDescent="0.2">
      <c r="B13" s="30"/>
      <c r="C13" s="30"/>
      <c r="D13" s="32" t="s">
        <v>385</v>
      </c>
      <c r="E13" s="33" t="s">
        <v>85</v>
      </c>
      <c r="F13" s="66">
        <v>80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80</v>
      </c>
      <c r="S13" s="58">
        <v>365.55</v>
      </c>
      <c r="T13" s="59">
        <f>+S13*R13</f>
        <v>29244</v>
      </c>
    </row>
    <row r="14" spans="2:25" s="45" customFormat="1" x14ac:dyDescent="0.2">
      <c r="B14" s="30"/>
      <c r="C14" s="30"/>
      <c r="D14" s="32" t="s">
        <v>386</v>
      </c>
      <c r="E14" s="33" t="s">
        <v>85</v>
      </c>
      <c r="F14" s="66">
        <v>180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180</v>
      </c>
      <c r="S14" s="58">
        <v>236.4</v>
      </c>
      <c r="T14" s="59">
        <f>+S14*R14</f>
        <v>42552</v>
      </c>
    </row>
    <row r="15" spans="2:25" s="45" customFormat="1" x14ac:dyDescent="0.2">
      <c r="B15" s="30"/>
      <c r="C15" s="30"/>
      <c r="D15" s="32" t="s">
        <v>387</v>
      </c>
      <c r="E15" s="33" t="s">
        <v>85</v>
      </c>
      <c r="F15" s="66">
        <v>102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102</v>
      </c>
      <c r="S15" s="58">
        <v>235.6</v>
      </c>
      <c r="T15" s="59">
        <f t="shared" ref="T15:T24" si="1">+S15*R15</f>
        <v>24031.200000000001</v>
      </c>
    </row>
    <row r="16" spans="2:25" s="45" customFormat="1" x14ac:dyDescent="0.2">
      <c r="B16" s="30"/>
      <c r="C16" s="30"/>
      <c r="D16" s="32" t="s">
        <v>466</v>
      </c>
      <c r="E16" s="33" t="s">
        <v>85</v>
      </c>
      <c r="F16" s="66">
        <v>19</v>
      </c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19</v>
      </c>
      <c r="S16" s="58">
        <v>284.39999999999998</v>
      </c>
      <c r="T16" s="59">
        <f t="shared" si="1"/>
        <v>5403.5999999999995</v>
      </c>
    </row>
    <row r="17" spans="2:20" s="45" customFormat="1" x14ac:dyDescent="0.2">
      <c r="B17" s="30"/>
      <c r="C17" s="30"/>
      <c r="D17" s="32" t="s">
        <v>467</v>
      </c>
      <c r="E17" s="33" t="s">
        <v>85</v>
      </c>
      <c r="F17" s="66">
        <v>17</v>
      </c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17</v>
      </c>
      <c r="S17" s="58">
        <v>420</v>
      </c>
      <c r="T17" s="59">
        <f t="shared" si="1"/>
        <v>7140</v>
      </c>
    </row>
    <row r="18" spans="2:20" s="45" customFormat="1" x14ac:dyDescent="0.2">
      <c r="B18" s="30"/>
      <c r="C18" s="30"/>
      <c r="D18" s="32" t="s">
        <v>468</v>
      </c>
      <c r="E18" s="33" t="s">
        <v>85</v>
      </c>
      <c r="F18" s="66">
        <v>19</v>
      </c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19</v>
      </c>
      <c r="S18" s="58">
        <v>490</v>
      </c>
      <c r="T18" s="59">
        <f t="shared" si="1"/>
        <v>9310</v>
      </c>
    </row>
    <row r="19" spans="2:20" s="45" customFormat="1" x14ac:dyDescent="0.2">
      <c r="B19" s="30"/>
      <c r="C19" s="30"/>
      <c r="D19" s="31" t="s">
        <v>768</v>
      </c>
      <c r="E19" s="30" t="s">
        <v>52</v>
      </c>
      <c r="F19" s="66"/>
      <c r="G19" s="66">
        <v>20</v>
      </c>
      <c r="H19" s="66"/>
      <c r="I19" s="30"/>
      <c r="J19" s="30"/>
      <c r="K19" s="30"/>
      <c r="L19" s="66"/>
      <c r="M19" s="70"/>
      <c r="N19" s="66"/>
      <c r="O19" s="30"/>
      <c r="P19" s="57"/>
      <c r="Q19" s="57"/>
      <c r="R19" s="30">
        <f t="shared" si="0"/>
        <v>20</v>
      </c>
      <c r="S19" s="95">
        <v>250</v>
      </c>
      <c r="T19" s="59">
        <f t="shared" si="1"/>
        <v>5000</v>
      </c>
    </row>
    <row r="20" spans="2:20" s="45" customFormat="1" x14ac:dyDescent="0.2">
      <c r="B20" s="30"/>
      <c r="C20" s="30"/>
      <c r="D20" s="31" t="s">
        <v>769</v>
      </c>
      <c r="E20" s="30" t="s">
        <v>52</v>
      </c>
      <c r="F20" s="66"/>
      <c r="G20" s="66">
        <v>20</v>
      </c>
      <c r="H20" s="66"/>
      <c r="I20" s="30"/>
      <c r="J20" s="30"/>
      <c r="K20" s="30"/>
      <c r="L20" s="66"/>
      <c r="M20" s="70"/>
      <c r="N20" s="66"/>
      <c r="O20" s="30"/>
      <c r="P20" s="57"/>
      <c r="Q20" s="57"/>
      <c r="R20" s="30">
        <f t="shared" si="0"/>
        <v>20</v>
      </c>
      <c r="S20" s="95">
        <v>400</v>
      </c>
      <c r="T20" s="59">
        <f t="shared" si="1"/>
        <v>8000</v>
      </c>
    </row>
    <row r="21" spans="2:20" s="45" customFormat="1" x14ac:dyDescent="0.2">
      <c r="B21" s="30"/>
      <c r="C21" s="30"/>
      <c r="D21" s="227" t="s">
        <v>770</v>
      </c>
      <c r="E21" s="30" t="s">
        <v>52</v>
      </c>
      <c r="F21" s="66"/>
      <c r="G21" s="66">
        <v>26</v>
      </c>
      <c r="H21" s="66"/>
      <c r="I21" s="30"/>
      <c r="J21" s="30"/>
      <c r="K21" s="30"/>
      <c r="L21" s="66"/>
      <c r="M21" s="70"/>
      <c r="N21" s="66"/>
      <c r="O21" s="30"/>
      <c r="P21" s="57"/>
      <c r="Q21" s="57"/>
      <c r="R21" s="30">
        <f t="shared" si="0"/>
        <v>26</v>
      </c>
      <c r="S21" s="95">
        <v>147</v>
      </c>
      <c r="T21" s="59">
        <f t="shared" si="1"/>
        <v>3822</v>
      </c>
    </row>
    <row r="22" spans="2:20" s="45" customFormat="1" x14ac:dyDescent="0.2">
      <c r="B22" s="30"/>
      <c r="C22" s="30"/>
      <c r="D22" s="31" t="s">
        <v>771</v>
      </c>
      <c r="E22" s="30" t="s">
        <v>52</v>
      </c>
      <c r="F22" s="66"/>
      <c r="G22" s="66">
        <v>10</v>
      </c>
      <c r="H22" s="66"/>
      <c r="I22" s="30"/>
      <c r="J22" s="30"/>
      <c r="K22" s="30"/>
      <c r="L22" s="66"/>
      <c r="M22" s="70"/>
      <c r="N22" s="66"/>
      <c r="O22" s="30"/>
      <c r="P22" s="57"/>
      <c r="Q22" s="57"/>
      <c r="R22" s="30">
        <f t="shared" si="0"/>
        <v>10</v>
      </c>
      <c r="S22" s="95">
        <v>349</v>
      </c>
      <c r="T22" s="59">
        <f t="shared" si="1"/>
        <v>3490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25357.632000000001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183842.83200000002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E1" zoomScale="115" zoomScaleNormal="115" workbookViewId="0">
      <selection activeCell="T17" sqref="T1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388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389</v>
      </c>
      <c r="E11" s="33" t="s">
        <v>85</v>
      </c>
      <c r="F11" s="66">
        <v>41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41</v>
      </c>
      <c r="S11" s="55">
        <v>27.09</v>
      </c>
      <c r="T11" s="56">
        <f>S11*R11</f>
        <v>1110.69</v>
      </c>
    </row>
    <row r="12" spans="2:25" s="45" customFormat="1" x14ac:dyDescent="0.2">
      <c r="B12" s="30"/>
      <c r="C12" s="30"/>
      <c r="D12" s="32" t="s">
        <v>390</v>
      </c>
      <c r="E12" s="33" t="s">
        <v>85</v>
      </c>
      <c r="F12" s="66">
        <v>22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22</v>
      </c>
      <c r="S12" s="58">
        <v>574.74</v>
      </c>
      <c r="T12" s="59">
        <f>+S12*R12</f>
        <v>12644.28</v>
      </c>
    </row>
    <row r="13" spans="2:25" s="45" customFormat="1" x14ac:dyDescent="0.2">
      <c r="B13" s="30"/>
      <c r="C13" s="30"/>
      <c r="D13" s="32" t="s">
        <v>391</v>
      </c>
      <c r="E13" s="33" t="s">
        <v>85</v>
      </c>
      <c r="F13" s="66">
        <v>31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31</v>
      </c>
      <c r="S13" s="58">
        <v>78.650000000000006</v>
      </c>
      <c r="T13" s="59">
        <f>+S13*R13</f>
        <v>2438.15</v>
      </c>
    </row>
    <row r="14" spans="2:25" s="45" customFormat="1" x14ac:dyDescent="0.2">
      <c r="B14" s="30"/>
      <c r="C14" s="30"/>
      <c r="D14" s="32" t="s">
        <v>392</v>
      </c>
      <c r="E14" s="33" t="s">
        <v>85</v>
      </c>
      <c r="F14" s="66">
        <v>9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9</v>
      </c>
      <c r="S14" s="58">
        <v>107.81</v>
      </c>
      <c r="T14" s="59">
        <f>+S14*R14</f>
        <v>970.29</v>
      </c>
    </row>
    <row r="15" spans="2:25" s="45" customFormat="1" x14ac:dyDescent="0.2">
      <c r="B15" s="30"/>
      <c r="C15" s="30"/>
      <c r="D15" s="32" t="s">
        <v>469</v>
      </c>
      <c r="E15" s="33" t="s">
        <v>85</v>
      </c>
      <c r="F15" s="66">
        <v>21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21</v>
      </c>
      <c r="S15" s="58">
        <v>70.97</v>
      </c>
      <c r="T15" s="59">
        <f t="shared" ref="T15:T24" si="1">+S15*R15</f>
        <v>1490.37</v>
      </c>
    </row>
    <row r="16" spans="2:25" s="45" customFormat="1" x14ac:dyDescent="0.2">
      <c r="B16" s="30"/>
      <c r="C16" s="30"/>
      <c r="D16" s="32" t="s">
        <v>470</v>
      </c>
      <c r="E16" s="33" t="s">
        <v>85</v>
      </c>
      <c r="F16" s="66">
        <v>21</v>
      </c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21</v>
      </c>
      <c r="S16" s="58">
        <v>200</v>
      </c>
      <c r="T16" s="59">
        <f t="shared" si="1"/>
        <v>4200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3656.6048000000001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26510.3848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zoomScale="115" zoomScaleNormal="115" workbookViewId="0">
      <selection activeCell="F11" sqref="F1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33.75" x14ac:dyDescent="0.2">
      <c r="B8" s="292" t="s">
        <v>19</v>
      </c>
      <c r="C8" s="292"/>
      <c r="D8" s="80" t="s">
        <v>393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6" t="s">
        <v>394</v>
      </c>
      <c r="E11" s="33" t="s">
        <v>85</v>
      </c>
      <c r="F11" s="66">
        <v>570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570</v>
      </c>
      <c r="S11" s="55">
        <v>4.79</v>
      </c>
      <c r="T11" s="56">
        <f>S11*R11</f>
        <v>2730.3</v>
      </c>
    </row>
    <row r="12" spans="2:25" s="45" customFormat="1" x14ac:dyDescent="0.2">
      <c r="B12" s="30"/>
      <c r="C12" s="30"/>
      <c r="D12" s="32"/>
      <c r="E12" s="33"/>
      <c r="F12" s="66"/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0</v>
      </c>
      <c r="S12" s="58"/>
      <c r="T12" s="59">
        <f>+S12*R12</f>
        <v>0</v>
      </c>
    </row>
    <row r="13" spans="2:25" s="45" customFormat="1" x14ac:dyDescent="0.2">
      <c r="B13" s="30"/>
      <c r="C13" s="30"/>
      <c r="D13" s="32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0</v>
      </c>
      <c r="S13" s="58"/>
      <c r="T13" s="59">
        <f>+S13*R13</f>
        <v>0</v>
      </c>
    </row>
    <row r="14" spans="2:25" s="45" customFormat="1" x14ac:dyDescent="0.2">
      <c r="B14" s="30"/>
      <c r="C14" s="30"/>
      <c r="D14" s="32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436.84800000000001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3167.1480000000001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V52"/>
  <sheetViews>
    <sheetView topLeftCell="B1" zoomScale="90" zoomScaleNormal="90" workbookViewId="0">
      <selection activeCell="J21" sqref="J2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2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</row>
    <row r="6" spans="2:22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</row>
    <row r="7" spans="2:22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</row>
    <row r="8" spans="2:22" s="2" customFormat="1" ht="11.25" x14ac:dyDescent="0.2">
      <c r="B8" s="292" t="s">
        <v>19</v>
      </c>
      <c r="C8" s="292"/>
      <c r="D8" s="10" t="s">
        <v>715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3.5" thickBot="1" x14ac:dyDescent="0.25"/>
    <row r="10" spans="2:22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2" s="183" customFormat="1" ht="11.25" x14ac:dyDescent="0.2">
      <c r="B11" s="14">
        <v>1</v>
      </c>
      <c r="C11" s="7" t="s">
        <v>50</v>
      </c>
      <c r="D11" s="194" t="s">
        <v>716</v>
      </c>
      <c r="E11" s="202" t="s">
        <v>493</v>
      </c>
      <c r="F11" s="7"/>
      <c r="G11" s="7"/>
      <c r="H11" s="7"/>
      <c r="I11" s="200">
        <v>3</v>
      </c>
      <c r="J11" s="200"/>
      <c r="K11" s="7"/>
      <c r="L11" s="7"/>
      <c r="M11" s="7"/>
      <c r="N11" s="7"/>
      <c r="O11" s="7"/>
      <c r="P11" s="7"/>
      <c r="Q11" s="7"/>
      <c r="R11" s="7">
        <f t="shared" ref="R11:R13" si="0">SUM(F11:Q11)</f>
        <v>3</v>
      </c>
      <c r="S11" s="193">
        <v>2500</v>
      </c>
      <c r="T11" s="15">
        <f>+R11*S11</f>
        <v>7500</v>
      </c>
    </row>
    <row r="12" spans="2:22" s="183" customFormat="1" ht="11.25" x14ac:dyDescent="0.2">
      <c r="B12" s="14">
        <v>2</v>
      </c>
      <c r="C12" s="7" t="s">
        <v>50</v>
      </c>
      <c r="D12" s="184" t="s">
        <v>717</v>
      </c>
      <c r="E12" s="185" t="s">
        <v>493</v>
      </c>
      <c r="F12" s="7"/>
      <c r="G12" s="7"/>
      <c r="H12" s="7"/>
      <c r="I12" s="201">
        <v>6</v>
      </c>
      <c r="J12" s="201"/>
      <c r="K12" s="7"/>
      <c r="L12" s="7"/>
      <c r="M12" s="7"/>
      <c r="N12" s="7"/>
      <c r="O12" s="7"/>
      <c r="P12" s="7"/>
      <c r="Q12" s="7"/>
      <c r="R12" s="157">
        <f t="shared" si="0"/>
        <v>6</v>
      </c>
      <c r="S12" s="186">
        <v>350</v>
      </c>
      <c r="T12" s="15">
        <f t="shared" ref="T12:T13" si="1">+R12*S12</f>
        <v>2100</v>
      </c>
    </row>
    <row r="13" spans="2:22" s="183" customFormat="1" ht="11.25" x14ac:dyDescent="0.2">
      <c r="B13" s="14">
        <v>3</v>
      </c>
      <c r="C13" s="7" t="s">
        <v>50</v>
      </c>
      <c r="D13" s="184" t="s">
        <v>718</v>
      </c>
      <c r="E13" s="185" t="s">
        <v>493</v>
      </c>
      <c r="F13" s="7"/>
      <c r="G13" s="7"/>
      <c r="H13" s="7"/>
      <c r="I13" s="201">
        <v>6</v>
      </c>
      <c r="J13" s="201"/>
      <c r="K13" s="7"/>
      <c r="L13" s="7"/>
      <c r="M13" s="7"/>
      <c r="N13" s="7"/>
      <c r="O13" s="7"/>
      <c r="P13" s="7"/>
      <c r="Q13" s="7"/>
      <c r="R13" s="157">
        <f t="shared" si="0"/>
        <v>6</v>
      </c>
      <c r="S13" s="186">
        <v>250</v>
      </c>
      <c r="T13" s="15">
        <f t="shared" si="1"/>
        <v>1500</v>
      </c>
    </row>
    <row r="14" spans="2:22" x14ac:dyDescent="0.2">
      <c r="B14" s="14"/>
      <c r="C14" s="7"/>
      <c r="D14" s="184"/>
      <c r="E14" s="185"/>
      <c r="F14" s="7"/>
      <c r="G14" s="7"/>
      <c r="H14" s="7"/>
      <c r="I14" s="201"/>
      <c r="J14" s="201"/>
      <c r="K14" s="7"/>
      <c r="L14" s="7"/>
      <c r="M14" s="7"/>
      <c r="N14" s="7"/>
      <c r="O14" s="7"/>
      <c r="P14" s="7"/>
      <c r="Q14" s="7"/>
      <c r="R14" s="157"/>
      <c r="S14" s="186"/>
      <c r="T14" s="15"/>
    </row>
    <row r="15" spans="2:22" x14ac:dyDescent="0.2">
      <c r="B15" s="14"/>
      <c r="C15" s="7"/>
      <c r="D15" s="184"/>
      <c r="E15" s="185"/>
      <c r="F15" s="7"/>
      <c r="G15" s="7"/>
      <c r="H15" s="7"/>
      <c r="I15" s="201"/>
      <c r="J15" s="201"/>
      <c r="K15" s="7"/>
      <c r="L15" s="7"/>
      <c r="M15" s="7"/>
      <c r="N15" s="7"/>
      <c r="O15" s="7"/>
      <c r="P15" s="7"/>
      <c r="Q15" s="7"/>
      <c r="R15" s="157"/>
      <c r="S15" s="186"/>
      <c r="T15" s="15"/>
    </row>
    <row r="16" spans="2:22" x14ac:dyDescent="0.2">
      <c r="B16" s="14"/>
      <c r="C16" s="7"/>
      <c r="D16" s="184"/>
      <c r="E16" s="185"/>
      <c r="F16" s="7"/>
      <c r="G16" s="7"/>
      <c r="H16" s="7"/>
      <c r="I16" s="7"/>
      <c r="J16" s="201"/>
      <c r="K16" s="7"/>
      <c r="L16" s="7"/>
      <c r="M16" s="7"/>
      <c r="N16" s="7"/>
      <c r="O16" s="7"/>
      <c r="P16" s="7"/>
      <c r="Q16" s="7"/>
      <c r="R16" s="157"/>
      <c r="S16" s="186"/>
      <c r="T16" s="15"/>
    </row>
    <row r="17" spans="2:20" x14ac:dyDescent="0.2">
      <c r="B17" s="14"/>
      <c r="C17" s="7"/>
      <c r="D17" s="184"/>
      <c r="E17" s="185"/>
      <c r="F17" s="7"/>
      <c r="G17" s="7"/>
      <c r="H17" s="7"/>
      <c r="I17" s="7"/>
      <c r="J17" s="201"/>
      <c r="K17" s="7"/>
      <c r="L17" s="7"/>
      <c r="M17" s="7"/>
      <c r="N17" s="7"/>
      <c r="O17" s="7"/>
      <c r="P17" s="7"/>
      <c r="Q17" s="7"/>
      <c r="R17" s="157"/>
      <c r="S17" s="186"/>
      <c r="T17" s="15"/>
    </row>
    <row r="18" spans="2:20" x14ac:dyDescent="0.2">
      <c r="B18" s="14"/>
      <c r="C18" s="7"/>
      <c r="D18" s="184"/>
      <c r="E18" s="18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7"/>
      <c r="S18" s="187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1776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12876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D21" sqref="D2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215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304</v>
      </c>
      <c r="E11" s="33" t="s">
        <v>85</v>
      </c>
      <c r="F11" s="66"/>
      <c r="G11" s="66"/>
      <c r="H11" s="66"/>
      <c r="I11" s="30"/>
      <c r="J11" s="53"/>
      <c r="K11" s="54"/>
      <c r="L11" s="69">
        <v>2</v>
      </c>
      <c r="M11" s="69"/>
      <c r="N11" s="69"/>
      <c r="O11" s="53"/>
      <c r="P11" s="54">
        <v>2</v>
      </c>
      <c r="Q11" s="54">
        <v>2</v>
      </c>
      <c r="R11" s="53">
        <f>SUM(F11:Q11)</f>
        <v>6</v>
      </c>
      <c r="S11" s="55"/>
      <c r="T11" s="56">
        <f>464+1538+10000</f>
        <v>12002</v>
      </c>
    </row>
    <row r="12" spans="2:25" s="45" customFormat="1" x14ac:dyDescent="0.2">
      <c r="B12" s="30"/>
      <c r="C12" s="30"/>
      <c r="D12" s="32" t="s">
        <v>395</v>
      </c>
      <c r="E12" s="33" t="s">
        <v>85</v>
      </c>
      <c r="F12" s="66">
        <v>26</v>
      </c>
      <c r="G12" s="66"/>
      <c r="H12" s="66"/>
      <c r="I12" s="30"/>
      <c r="J12" s="30"/>
      <c r="K12" s="57">
        <v>7</v>
      </c>
      <c r="L12" s="66"/>
      <c r="M12" s="66"/>
      <c r="N12" s="66"/>
      <c r="O12" s="30"/>
      <c r="P12" s="57"/>
      <c r="Q12" s="57"/>
      <c r="R12" s="30">
        <f>+SUM(F12:Q12)</f>
        <v>33</v>
      </c>
      <c r="S12" s="58">
        <v>79.44</v>
      </c>
      <c r="T12" s="59">
        <f>+S12*R12</f>
        <v>2621.52</v>
      </c>
    </row>
    <row r="13" spans="2:25" s="45" customFormat="1" x14ac:dyDescent="0.2">
      <c r="B13" s="30"/>
      <c r="C13" s="30"/>
      <c r="D13" s="32" t="s">
        <v>396</v>
      </c>
      <c r="E13" s="33" t="s">
        <v>85</v>
      </c>
      <c r="F13" s="66">
        <v>5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5</v>
      </c>
      <c r="S13" s="58">
        <v>168.8</v>
      </c>
      <c r="T13" s="59">
        <f>+S13*R13</f>
        <v>844</v>
      </c>
    </row>
    <row r="14" spans="2:25" s="45" customFormat="1" x14ac:dyDescent="0.2">
      <c r="B14" s="30"/>
      <c r="C14" s="30"/>
      <c r="D14" s="32" t="s">
        <v>397</v>
      </c>
      <c r="E14" s="33" t="s">
        <v>85</v>
      </c>
      <c r="F14" s="66">
        <v>22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17" si="0">+SUM(F14:Q14)</f>
        <v>22</v>
      </c>
      <c r="S14" s="58">
        <v>666.45</v>
      </c>
      <c r="T14" s="59">
        <f>+S14*R14</f>
        <v>14661.900000000001</v>
      </c>
    </row>
    <row r="15" spans="2:25" s="45" customFormat="1" x14ac:dyDescent="0.2">
      <c r="B15" s="30"/>
      <c r="C15" s="30"/>
      <c r="D15" s="32" t="s">
        <v>472</v>
      </c>
      <c r="E15" s="33" t="s">
        <v>85</v>
      </c>
      <c r="F15" s="66">
        <v>12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12</v>
      </c>
      <c r="S15" s="58">
        <v>200</v>
      </c>
      <c r="T15" s="59">
        <f t="shared" ref="T15:T17" si="1">+S15*R15</f>
        <v>2400</v>
      </c>
    </row>
    <row r="16" spans="2:25" s="45" customFormat="1" x14ac:dyDescent="0.2">
      <c r="B16" s="30"/>
      <c r="C16" s="30"/>
      <c r="D16" s="32" t="s">
        <v>471</v>
      </c>
      <c r="E16" s="33" t="s">
        <v>85</v>
      </c>
      <c r="F16" s="66">
        <v>12</v>
      </c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12</v>
      </c>
      <c r="S16" s="58">
        <v>200</v>
      </c>
      <c r="T16" s="59">
        <f t="shared" si="1"/>
        <v>2400</v>
      </c>
    </row>
    <row r="17" spans="2:20" s="45" customFormat="1" x14ac:dyDescent="0.2">
      <c r="B17" s="30"/>
      <c r="C17" s="30"/>
      <c r="D17" s="32" t="s">
        <v>473</v>
      </c>
      <c r="E17" s="33" t="s">
        <v>85</v>
      </c>
      <c r="F17" s="66">
        <v>12</v>
      </c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12</v>
      </c>
      <c r="S17" s="58">
        <v>70</v>
      </c>
      <c r="T17" s="59">
        <f t="shared" si="1"/>
        <v>840</v>
      </c>
    </row>
    <row r="18" spans="2:20" s="45" customFormat="1" x14ac:dyDescent="0.2">
      <c r="B18" s="30"/>
      <c r="C18" s="30"/>
      <c r="D18" s="188" t="s">
        <v>719</v>
      </c>
      <c r="E18" s="185" t="s">
        <v>341</v>
      </c>
      <c r="F18" s="7"/>
      <c r="G18" s="7"/>
      <c r="H18" s="7"/>
      <c r="I18" s="7"/>
      <c r="J18" s="185">
        <v>1</v>
      </c>
      <c r="K18" s="7"/>
      <c r="L18" s="7"/>
      <c r="M18" s="7"/>
      <c r="N18" s="7"/>
      <c r="O18" s="7"/>
      <c r="P18" s="7"/>
      <c r="Q18" s="7"/>
      <c r="R18" s="157">
        <f t="shared" ref="R18:R28" si="2">SUM(F18:Q18)</f>
        <v>1</v>
      </c>
      <c r="S18" s="186">
        <v>850</v>
      </c>
      <c r="T18" s="15">
        <f t="shared" ref="T18:T28" si="3">+R18*S18</f>
        <v>850</v>
      </c>
    </row>
    <row r="19" spans="2:20" s="45" customFormat="1" x14ac:dyDescent="0.2">
      <c r="B19" s="30"/>
      <c r="C19" s="30"/>
      <c r="D19" s="188" t="s">
        <v>720</v>
      </c>
      <c r="E19" s="185" t="s">
        <v>341</v>
      </c>
      <c r="F19" s="7"/>
      <c r="G19" s="7"/>
      <c r="H19" s="7"/>
      <c r="I19" s="7"/>
      <c r="J19" s="185">
        <v>1</v>
      </c>
      <c r="K19" s="7"/>
      <c r="L19" s="7"/>
      <c r="M19" s="7"/>
      <c r="N19" s="7"/>
      <c r="O19" s="7"/>
      <c r="P19" s="7"/>
      <c r="Q19" s="7"/>
      <c r="R19" s="157">
        <f t="shared" si="2"/>
        <v>1</v>
      </c>
      <c r="S19" s="186">
        <v>2500</v>
      </c>
      <c r="T19" s="15">
        <f t="shared" si="3"/>
        <v>2500</v>
      </c>
    </row>
    <row r="20" spans="2:20" s="45" customFormat="1" x14ac:dyDescent="0.2">
      <c r="B20" s="30"/>
      <c r="C20" s="30"/>
      <c r="D20" s="188" t="s">
        <v>721</v>
      </c>
      <c r="E20" s="185" t="s">
        <v>341</v>
      </c>
      <c r="F20" s="7"/>
      <c r="G20" s="7"/>
      <c r="H20" s="7"/>
      <c r="I20" s="7"/>
      <c r="J20" s="185">
        <v>1</v>
      </c>
      <c r="K20" s="7"/>
      <c r="L20" s="7"/>
      <c r="M20" s="7"/>
      <c r="N20" s="7"/>
      <c r="O20" s="7"/>
      <c r="P20" s="7"/>
      <c r="Q20" s="7"/>
      <c r="R20" s="157">
        <f t="shared" si="2"/>
        <v>1</v>
      </c>
      <c r="S20" s="186">
        <v>4500</v>
      </c>
      <c r="T20" s="15">
        <f t="shared" si="3"/>
        <v>4500</v>
      </c>
    </row>
    <row r="21" spans="2:20" s="45" customFormat="1" x14ac:dyDescent="0.2">
      <c r="B21" s="30"/>
      <c r="C21" s="30"/>
      <c r="D21" s="188" t="s">
        <v>722</v>
      </c>
      <c r="E21" s="185" t="s">
        <v>341</v>
      </c>
      <c r="F21" s="7"/>
      <c r="G21" s="7"/>
      <c r="H21" s="7"/>
      <c r="I21" s="7"/>
      <c r="J21" s="185">
        <v>1</v>
      </c>
      <c r="K21" s="7"/>
      <c r="L21" s="7"/>
      <c r="M21" s="7"/>
      <c r="N21" s="7"/>
      <c r="O21" s="7"/>
      <c r="P21" s="7"/>
      <c r="Q21" s="7"/>
      <c r="R21" s="157">
        <f t="shared" si="2"/>
        <v>1</v>
      </c>
      <c r="S21" s="186">
        <v>1200</v>
      </c>
      <c r="T21" s="15">
        <f t="shared" si="3"/>
        <v>1200</v>
      </c>
    </row>
    <row r="22" spans="2:20" s="45" customFormat="1" x14ac:dyDescent="0.2">
      <c r="B22" s="30"/>
      <c r="C22" s="30"/>
      <c r="D22" s="188" t="s">
        <v>723</v>
      </c>
      <c r="E22" s="185" t="s">
        <v>493</v>
      </c>
      <c r="F22" s="7"/>
      <c r="G22" s="7"/>
      <c r="H22" s="7"/>
      <c r="I22" s="7"/>
      <c r="J22" s="185">
        <v>3</v>
      </c>
      <c r="K22" s="7"/>
      <c r="L22" s="7"/>
      <c r="M22" s="7"/>
      <c r="N22" s="7"/>
      <c r="O22" s="7"/>
      <c r="P22" s="7"/>
      <c r="Q22" s="7"/>
      <c r="R22" s="157">
        <f t="shared" si="2"/>
        <v>3</v>
      </c>
      <c r="S22" s="186">
        <v>80</v>
      </c>
      <c r="T22" s="15">
        <f t="shared" si="3"/>
        <v>240</v>
      </c>
    </row>
    <row r="23" spans="2:20" s="45" customFormat="1" x14ac:dyDescent="0.2">
      <c r="B23" s="30"/>
      <c r="C23" s="30"/>
      <c r="D23" s="188" t="s">
        <v>724</v>
      </c>
      <c r="E23" s="185" t="s">
        <v>493</v>
      </c>
      <c r="F23" s="7"/>
      <c r="G23" s="7"/>
      <c r="H23" s="7"/>
      <c r="I23" s="7"/>
      <c r="J23" s="185">
        <v>10</v>
      </c>
      <c r="K23" s="7"/>
      <c r="L23" s="7"/>
      <c r="M23" s="7"/>
      <c r="N23" s="7"/>
      <c r="O23" s="7"/>
      <c r="P23" s="7"/>
      <c r="Q23" s="7"/>
      <c r="R23" s="157">
        <f t="shared" si="2"/>
        <v>10</v>
      </c>
      <c r="S23" s="186">
        <v>50</v>
      </c>
      <c r="T23" s="15">
        <f t="shared" si="3"/>
        <v>500</v>
      </c>
    </row>
    <row r="24" spans="2:20" s="45" customFormat="1" x14ac:dyDescent="0.2">
      <c r="B24" s="30"/>
      <c r="C24" s="30"/>
      <c r="D24" s="188" t="s">
        <v>725</v>
      </c>
      <c r="E24" s="185" t="s">
        <v>493</v>
      </c>
      <c r="F24" s="7"/>
      <c r="G24" s="7"/>
      <c r="H24" s="7"/>
      <c r="I24" s="7"/>
      <c r="J24" s="185">
        <v>15</v>
      </c>
      <c r="K24" s="7"/>
      <c r="L24" s="7"/>
      <c r="M24" s="7"/>
      <c r="N24" s="7"/>
      <c r="O24" s="7"/>
      <c r="P24" s="7"/>
      <c r="Q24" s="7"/>
      <c r="R24" s="157">
        <f t="shared" si="2"/>
        <v>15</v>
      </c>
      <c r="S24" s="186">
        <v>15</v>
      </c>
      <c r="T24" s="15">
        <f t="shared" si="3"/>
        <v>225</v>
      </c>
    </row>
    <row r="25" spans="2:20" x14ac:dyDescent="0.2">
      <c r="B25" s="30"/>
      <c r="C25" s="7"/>
      <c r="D25" s="188" t="s">
        <v>726</v>
      </c>
      <c r="E25" s="185" t="s">
        <v>493</v>
      </c>
      <c r="F25" s="7"/>
      <c r="G25" s="8"/>
      <c r="H25" s="7"/>
      <c r="I25" s="7"/>
      <c r="J25" s="185">
        <v>10</v>
      </c>
      <c r="K25" s="8"/>
      <c r="L25" s="7"/>
      <c r="M25" s="8"/>
      <c r="N25" s="7"/>
      <c r="O25" s="8"/>
      <c r="P25" s="8"/>
      <c r="Q25" s="8"/>
      <c r="R25" s="157">
        <f t="shared" si="2"/>
        <v>10</v>
      </c>
      <c r="S25" s="186">
        <v>120</v>
      </c>
      <c r="T25" s="15">
        <f t="shared" si="3"/>
        <v>1200</v>
      </c>
    </row>
    <row r="26" spans="2:20" x14ac:dyDescent="0.2">
      <c r="B26" s="205"/>
      <c r="C26" s="89"/>
      <c r="D26" s="188" t="s">
        <v>727</v>
      </c>
      <c r="E26" s="185" t="s">
        <v>493</v>
      </c>
      <c r="F26" s="7"/>
      <c r="G26" s="8"/>
      <c r="H26" s="7"/>
      <c r="I26" s="8"/>
      <c r="J26" s="185">
        <v>4</v>
      </c>
      <c r="K26" s="8"/>
      <c r="L26" s="7"/>
      <c r="M26" s="8"/>
      <c r="N26" s="7"/>
      <c r="O26" s="8"/>
      <c r="P26" s="8"/>
      <c r="Q26" s="8"/>
      <c r="R26" s="157">
        <f t="shared" si="2"/>
        <v>4</v>
      </c>
      <c r="S26" s="186">
        <v>325</v>
      </c>
      <c r="T26" s="15">
        <f t="shared" si="3"/>
        <v>1300</v>
      </c>
    </row>
    <row r="27" spans="2:20" x14ac:dyDescent="0.2">
      <c r="B27" s="7"/>
      <c r="C27" s="7"/>
      <c r="D27" s="188" t="s">
        <v>728</v>
      </c>
      <c r="E27" s="185" t="s">
        <v>493</v>
      </c>
      <c r="F27" s="7"/>
      <c r="G27" s="8"/>
      <c r="H27" s="7"/>
      <c r="I27" s="8"/>
      <c r="J27" s="185">
        <v>3</v>
      </c>
      <c r="K27" s="8"/>
      <c r="L27" s="7"/>
      <c r="M27" s="8"/>
      <c r="N27" s="7"/>
      <c r="O27" s="8"/>
      <c r="P27" s="8"/>
      <c r="Q27" s="8"/>
      <c r="R27" s="157">
        <f t="shared" si="2"/>
        <v>3</v>
      </c>
      <c r="S27" s="186">
        <v>315</v>
      </c>
      <c r="T27" s="15">
        <f t="shared" si="3"/>
        <v>945</v>
      </c>
    </row>
    <row r="28" spans="2:20" x14ac:dyDescent="0.2">
      <c r="B28" s="7"/>
      <c r="C28" s="7"/>
      <c r="D28" s="188" t="s">
        <v>729</v>
      </c>
      <c r="E28" s="185" t="s">
        <v>493</v>
      </c>
      <c r="F28" s="7"/>
      <c r="G28" s="8"/>
      <c r="H28" s="7"/>
      <c r="I28" s="8"/>
      <c r="J28" s="185">
        <v>3</v>
      </c>
      <c r="K28" s="8"/>
      <c r="L28" s="7"/>
      <c r="M28" s="8"/>
      <c r="N28" s="7"/>
      <c r="O28" s="8"/>
      <c r="P28" s="8"/>
      <c r="Q28" s="8"/>
      <c r="R28" s="157">
        <f t="shared" si="2"/>
        <v>3</v>
      </c>
      <c r="S28" s="186">
        <v>150</v>
      </c>
      <c r="T28" s="15">
        <f t="shared" si="3"/>
        <v>450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U21" sqref="U21"/>
    </sheetView>
  </sheetViews>
  <sheetFormatPr baseColWidth="10" defaultRowHeight="12.75" x14ac:dyDescent="0.2"/>
  <cols>
    <col min="1" max="1" width="3.5703125" customWidth="1"/>
    <col min="4" max="4" width="27.42578125" customWidth="1"/>
  </cols>
  <sheetData>
    <row r="1" spans="1:21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  <c r="U1" s="6"/>
    </row>
    <row r="2" spans="1:21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  <c r="U3" s="6"/>
    </row>
    <row r="4" spans="1:21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  <c r="U4" s="6"/>
    </row>
    <row r="5" spans="1:21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1:21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1:21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1:21" x14ac:dyDescent="0.2">
      <c r="A8" s="2"/>
      <c r="B8" s="292" t="s">
        <v>19</v>
      </c>
      <c r="C8" s="292"/>
      <c r="D8" s="10" t="s">
        <v>474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3.5" thickBot="1" x14ac:dyDescent="0.25"/>
    <row r="10" spans="1:21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1" x14ac:dyDescent="0.2">
      <c r="B11" s="131">
        <v>1</v>
      </c>
      <c r="C11" s="132" t="s">
        <v>476</v>
      </c>
      <c r="D11" s="133" t="s">
        <v>477</v>
      </c>
      <c r="E11" s="132" t="s">
        <v>478</v>
      </c>
      <c r="F11" s="132">
        <v>2</v>
      </c>
      <c r="G11" s="134"/>
      <c r="H11" s="135"/>
      <c r="I11" s="134"/>
      <c r="J11" s="135"/>
      <c r="K11" s="134"/>
      <c r="L11" s="135"/>
      <c r="M11" s="134"/>
      <c r="N11" s="135"/>
      <c r="O11" s="135"/>
      <c r="P11" s="135"/>
      <c r="Q11" s="136"/>
      <c r="R11" s="137"/>
      <c r="S11" s="9">
        <v>3800</v>
      </c>
      <c r="T11" s="138">
        <f>F11*S11</f>
        <v>7600</v>
      </c>
    </row>
    <row r="12" spans="1:21" x14ac:dyDescent="0.2">
      <c r="B12" s="14">
        <v>2</v>
      </c>
      <c r="C12" s="7" t="s">
        <v>476</v>
      </c>
      <c r="D12" s="139" t="s">
        <v>479</v>
      </c>
      <c r="E12" s="7" t="s">
        <v>478</v>
      </c>
      <c r="F12" s="7">
        <v>1</v>
      </c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>
        <v>4200</v>
      </c>
      <c r="T12" s="15">
        <f>F12*S12</f>
        <v>4200</v>
      </c>
    </row>
    <row r="13" spans="1:21" x14ac:dyDescent="0.2">
      <c r="B13" s="14"/>
      <c r="C13" s="7"/>
      <c r="D13" s="139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5"/>
    </row>
    <row r="14" spans="1:21" x14ac:dyDescent="0.2">
      <c r="B14" s="14"/>
      <c r="C14" s="7"/>
      <c r="D14" s="139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1:21" x14ac:dyDescent="0.2">
      <c r="B15" s="14"/>
      <c r="C15" s="7"/>
      <c r="D15" s="139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1:21" x14ac:dyDescent="0.2">
      <c r="B16" s="14"/>
      <c r="C16" s="140"/>
      <c r="D16" s="139"/>
      <c r="E16" s="140"/>
      <c r="F16" s="140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1" t="s">
        <v>18</v>
      </c>
      <c r="T47" s="26">
        <f>SUM(T11:T46)*0.16</f>
        <v>1888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2" t="s">
        <v>17</v>
      </c>
      <c r="T48" s="28">
        <f>SUM(T11:T47)</f>
        <v>13688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41"/>
      <c r="T49" s="14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B14" sqref="B14:C2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213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214</v>
      </c>
      <c r="E11" s="33" t="s">
        <v>293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495.5</v>
      </c>
      <c r="T11" s="56">
        <f>S11*R11</f>
        <v>495.5</v>
      </c>
    </row>
    <row r="12" spans="2:25" s="45" customFormat="1" x14ac:dyDescent="0.2">
      <c r="B12" s="30">
        <v>2</v>
      </c>
      <c r="C12" s="30" t="s">
        <v>50</v>
      </c>
      <c r="D12" s="32" t="s">
        <v>248</v>
      </c>
      <c r="E12" s="33" t="s">
        <v>293</v>
      </c>
      <c r="F12" s="66"/>
      <c r="G12" s="66"/>
      <c r="H12" s="66"/>
      <c r="I12" s="30"/>
      <c r="J12" s="30"/>
      <c r="K12" s="57"/>
      <c r="L12" s="66"/>
      <c r="M12" s="66"/>
      <c r="N12" s="66"/>
      <c r="O12" s="30">
        <v>1</v>
      </c>
      <c r="P12" s="57"/>
      <c r="Q12" s="57"/>
      <c r="R12" s="30">
        <f>+SUM(F12:Q12)</f>
        <v>1</v>
      </c>
      <c r="S12" s="58">
        <v>49.3</v>
      </c>
      <c r="T12" s="59">
        <f>+S12*R12</f>
        <v>49.3</v>
      </c>
    </row>
    <row r="13" spans="2:25" s="45" customFormat="1" x14ac:dyDescent="0.2">
      <c r="B13" s="30">
        <v>3</v>
      </c>
      <c r="C13" s="30" t="s">
        <v>50</v>
      </c>
      <c r="D13" s="32" t="s">
        <v>292</v>
      </c>
      <c r="E13" s="33" t="s">
        <v>293</v>
      </c>
      <c r="F13" s="66"/>
      <c r="G13" s="66"/>
      <c r="H13" s="66"/>
      <c r="I13" s="30"/>
      <c r="J13" s="30"/>
      <c r="K13" s="57"/>
      <c r="L13" s="66"/>
      <c r="M13" s="66"/>
      <c r="N13" s="66">
        <v>1</v>
      </c>
      <c r="O13" s="30"/>
      <c r="P13" s="57"/>
      <c r="Q13" s="57"/>
      <c r="R13" s="30">
        <f>+SUM(F13:Q13)</f>
        <v>1</v>
      </c>
      <c r="S13" s="58"/>
      <c r="T13" s="59">
        <v>1115.1099999999999</v>
      </c>
    </row>
    <row r="14" spans="2:25" s="45" customFormat="1" x14ac:dyDescent="0.2">
      <c r="B14" s="30"/>
      <c r="C14" s="30"/>
      <c r="D14" s="32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265.5856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1925.4955999999997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Y56"/>
  <sheetViews>
    <sheetView topLeftCell="F15" workbookViewId="0">
      <selection activeCell="Q55" sqref="Q5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style="4" bestFit="1" customWidth="1"/>
    <col min="8" max="8" width="6.42578125" bestFit="1" customWidth="1"/>
    <col min="9" max="9" width="8.42578125" customWidth="1"/>
    <col min="10" max="10" width="11.42578125" style="4"/>
    <col min="11" max="11" width="8.7109375" customWidth="1"/>
    <col min="12" max="12" width="9.140625" customWidth="1"/>
    <col min="13" max="13" width="10" style="4" customWidth="1"/>
    <col min="14" max="14" width="10.28515625" bestFit="1" customWidth="1"/>
    <col min="15" max="15" width="8" bestFit="1" customWidth="1"/>
    <col min="16" max="16" width="10" style="4" bestFit="1" customWidth="1"/>
    <col min="17" max="17" width="9.42578125" bestFit="1" customWidth="1"/>
    <col min="18" max="18" width="8.85546875" bestFit="1" customWidth="1"/>
    <col min="19" max="19" width="13.140625" customWidth="1"/>
    <col min="20" max="20" width="13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805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12.75" customHeight="1" x14ac:dyDescent="0.2">
      <c r="B11" s="242">
        <v>1</v>
      </c>
      <c r="C11" s="221" t="s">
        <v>528</v>
      </c>
      <c r="D11" s="243" t="s">
        <v>806</v>
      </c>
      <c r="E11" s="244" t="s">
        <v>164</v>
      </c>
      <c r="F11" s="221"/>
      <c r="G11" s="221"/>
      <c r="H11" s="221"/>
      <c r="I11" s="245"/>
      <c r="J11" s="221">
        <v>1</v>
      </c>
      <c r="K11" s="245"/>
      <c r="L11" s="221"/>
      <c r="M11" s="221"/>
      <c r="N11" s="221"/>
      <c r="O11" s="245"/>
      <c r="P11" s="221"/>
      <c r="Q11" s="245"/>
      <c r="R11" s="220">
        <f>SUM(F11:Q11)</f>
        <v>1</v>
      </c>
      <c r="S11" s="246">
        <v>488.49</v>
      </c>
      <c r="T11" s="247">
        <f>S11*R11</f>
        <v>488.49</v>
      </c>
    </row>
    <row r="12" spans="2:25" ht="12.75" customHeight="1" x14ac:dyDescent="0.2">
      <c r="B12" s="14">
        <v>2</v>
      </c>
      <c r="C12" s="7" t="s">
        <v>528</v>
      </c>
      <c r="D12" s="248" t="s">
        <v>807</v>
      </c>
      <c r="E12" s="249" t="s">
        <v>164</v>
      </c>
      <c r="F12" s="7"/>
      <c r="G12" s="7">
        <v>1</v>
      </c>
      <c r="H12" s="7"/>
      <c r="I12" s="8"/>
      <c r="J12" s="7"/>
      <c r="K12" s="8"/>
      <c r="L12" s="7"/>
      <c r="M12" s="7"/>
      <c r="N12" s="7"/>
      <c r="O12" s="8"/>
      <c r="P12" s="7"/>
      <c r="Q12" s="8"/>
      <c r="R12" s="7">
        <f t="shared" ref="R12:R15" si="0">SUM(F12:Q12)</f>
        <v>1</v>
      </c>
      <c r="S12" s="250">
        <v>246.9</v>
      </c>
      <c r="T12" s="15">
        <f>S12*R12</f>
        <v>246.9</v>
      </c>
    </row>
    <row r="13" spans="2:25" x14ac:dyDescent="0.2">
      <c r="B13" s="14">
        <v>3</v>
      </c>
      <c r="C13" s="7" t="s">
        <v>528</v>
      </c>
      <c r="D13" s="248" t="s">
        <v>808</v>
      </c>
      <c r="E13" s="251" t="s">
        <v>164</v>
      </c>
      <c r="F13" s="7"/>
      <c r="G13" s="7"/>
      <c r="H13" s="7"/>
      <c r="I13" s="8"/>
      <c r="J13" s="7">
        <v>1</v>
      </c>
      <c r="K13" s="8"/>
      <c r="L13" s="7"/>
      <c r="M13" s="7"/>
      <c r="N13" s="7"/>
      <c r="O13" s="8"/>
      <c r="P13" s="7"/>
      <c r="Q13" s="8"/>
      <c r="R13" s="7">
        <f t="shared" si="0"/>
        <v>1</v>
      </c>
      <c r="S13" s="250">
        <v>174.6</v>
      </c>
      <c r="T13" s="15">
        <f>S13*R13</f>
        <v>174.6</v>
      </c>
    </row>
    <row r="14" spans="2:25" x14ac:dyDescent="0.2">
      <c r="B14" s="14">
        <v>4</v>
      </c>
      <c r="C14" s="7" t="s">
        <v>528</v>
      </c>
      <c r="D14" s="248" t="s">
        <v>809</v>
      </c>
      <c r="E14" s="251" t="s">
        <v>164</v>
      </c>
      <c r="F14" s="7"/>
      <c r="G14" s="7">
        <v>1</v>
      </c>
      <c r="H14" s="7"/>
      <c r="I14" s="8"/>
      <c r="J14" s="7"/>
      <c r="K14" s="8"/>
      <c r="L14" s="7"/>
      <c r="M14" s="7"/>
      <c r="N14" s="7"/>
      <c r="O14" s="8"/>
      <c r="P14" s="7"/>
      <c r="Q14" s="8"/>
      <c r="R14" s="7">
        <f t="shared" si="0"/>
        <v>1</v>
      </c>
      <c r="S14" s="250">
        <v>312.3</v>
      </c>
      <c r="T14" s="15">
        <f>S14*R14</f>
        <v>312.3</v>
      </c>
    </row>
    <row r="15" spans="2:25" x14ac:dyDescent="0.2">
      <c r="B15" s="14">
        <v>5</v>
      </c>
      <c r="C15" s="7" t="s">
        <v>528</v>
      </c>
      <c r="D15" s="252" t="s">
        <v>810</v>
      </c>
      <c r="E15" s="251" t="s">
        <v>164</v>
      </c>
      <c r="F15" s="7"/>
      <c r="G15" s="7"/>
      <c r="H15" s="7"/>
      <c r="I15" s="8"/>
      <c r="J15" s="7">
        <v>1</v>
      </c>
      <c r="K15" s="8"/>
      <c r="L15" s="7"/>
      <c r="M15" s="7"/>
      <c r="N15" s="7"/>
      <c r="O15" s="8"/>
      <c r="P15" s="7"/>
      <c r="Q15" s="8"/>
      <c r="R15" s="7">
        <f t="shared" si="0"/>
        <v>1</v>
      </c>
      <c r="S15" s="250">
        <v>4812.1899999999996</v>
      </c>
      <c r="T15" s="15">
        <f>S15*R15</f>
        <v>4812.1899999999996</v>
      </c>
    </row>
    <row r="16" spans="2:25" x14ac:dyDescent="0.2">
      <c r="B16" s="14"/>
      <c r="C16" s="7"/>
      <c r="D16" s="248"/>
      <c r="E16" s="253"/>
      <c r="F16" s="7"/>
      <c r="G16" s="7"/>
      <c r="H16" s="7"/>
      <c r="I16" s="8"/>
      <c r="J16" s="7"/>
      <c r="K16" s="8"/>
      <c r="L16" s="7"/>
      <c r="M16" s="7"/>
      <c r="N16" s="7"/>
      <c r="O16" s="8"/>
      <c r="P16" s="7"/>
      <c r="Q16" s="8"/>
      <c r="R16" s="7"/>
      <c r="S16" s="254"/>
      <c r="T16" s="15"/>
    </row>
    <row r="17" spans="2:20" x14ac:dyDescent="0.2">
      <c r="B17" s="14"/>
      <c r="C17" s="7"/>
      <c r="D17" s="139"/>
      <c r="E17" s="253"/>
      <c r="F17" s="7"/>
      <c r="G17" s="7"/>
      <c r="H17" s="7"/>
      <c r="I17" s="8"/>
      <c r="J17" s="7"/>
      <c r="K17" s="8"/>
      <c r="L17" s="7"/>
      <c r="M17" s="7"/>
      <c r="N17" s="7"/>
      <c r="O17" s="8"/>
      <c r="P17" s="7"/>
      <c r="Q17" s="8"/>
      <c r="R17" s="7"/>
      <c r="S17" s="106"/>
      <c r="T17" s="15"/>
    </row>
    <row r="18" spans="2:20" ht="12.75" customHeight="1" x14ac:dyDescent="0.2">
      <c r="B18" s="14"/>
      <c r="C18" s="7"/>
      <c r="D18" s="252"/>
      <c r="E18" s="255"/>
      <c r="F18" s="7"/>
      <c r="G18" s="7"/>
      <c r="H18" s="7"/>
      <c r="I18" s="8"/>
      <c r="J18" s="7"/>
      <c r="K18" s="8"/>
      <c r="L18" s="7"/>
      <c r="M18" s="7"/>
      <c r="N18" s="7"/>
      <c r="O18" s="8"/>
      <c r="P18" s="7"/>
      <c r="Q18" s="8"/>
      <c r="R18" s="7"/>
      <c r="S18" s="254"/>
      <c r="T18" s="15"/>
    </row>
    <row r="19" spans="2:20" x14ac:dyDescent="0.2">
      <c r="B19" s="242"/>
      <c r="C19" s="7"/>
      <c r="D19" s="139"/>
      <c r="E19" s="255"/>
      <c r="F19" s="7"/>
      <c r="G19" s="7"/>
      <c r="H19" s="7"/>
      <c r="I19" s="8"/>
      <c r="J19" s="7"/>
      <c r="K19" s="8"/>
      <c r="L19" s="7"/>
      <c r="M19" s="7"/>
      <c r="N19" s="7"/>
      <c r="O19" s="8"/>
      <c r="P19" s="7"/>
      <c r="Q19" s="8"/>
      <c r="R19" s="7"/>
      <c r="S19" s="106"/>
      <c r="T19" s="15"/>
    </row>
    <row r="20" spans="2:20" x14ac:dyDescent="0.2">
      <c r="B20" s="14"/>
      <c r="C20" s="7"/>
      <c r="D20" s="256"/>
      <c r="E20" s="255"/>
      <c r="F20" s="7"/>
      <c r="G20" s="7"/>
      <c r="H20" s="7"/>
      <c r="I20" s="8"/>
      <c r="J20" s="7"/>
      <c r="K20" s="8"/>
      <c r="L20" s="7"/>
      <c r="M20" s="7"/>
      <c r="N20" s="7"/>
      <c r="O20" s="8"/>
      <c r="P20" s="7"/>
      <c r="Q20" s="8"/>
      <c r="R20" s="7"/>
      <c r="S20" s="257"/>
      <c r="T20" s="15"/>
    </row>
    <row r="21" spans="2:20" x14ac:dyDescent="0.2">
      <c r="B21" s="14"/>
      <c r="C21" s="7"/>
      <c r="D21" s="256"/>
      <c r="E21" s="255"/>
      <c r="F21" s="7"/>
      <c r="G21" s="7"/>
      <c r="H21" s="7"/>
      <c r="I21" s="8"/>
      <c r="J21" s="7"/>
      <c r="K21" s="8"/>
      <c r="L21" s="7"/>
      <c r="M21" s="7"/>
      <c r="N21" s="7"/>
      <c r="O21" s="8"/>
      <c r="P21" s="7"/>
      <c r="Q21" s="8"/>
      <c r="R21" s="7"/>
      <c r="S21" s="257"/>
      <c r="T21" s="15"/>
    </row>
    <row r="22" spans="2:20" x14ac:dyDescent="0.2">
      <c r="B22" s="14"/>
      <c r="C22" s="7"/>
      <c r="D22" s="252"/>
      <c r="E22" s="258"/>
      <c r="F22" s="7"/>
      <c r="G22" s="7"/>
      <c r="H22" s="7"/>
      <c r="I22" s="8"/>
      <c r="J22" s="7"/>
      <c r="K22" s="8"/>
      <c r="L22" s="7"/>
      <c r="M22" s="7"/>
      <c r="N22" s="7"/>
      <c r="O22" s="8"/>
      <c r="P22" s="7"/>
      <c r="Q22" s="8"/>
      <c r="R22" s="7"/>
      <c r="S22" s="257"/>
      <c r="T22" s="15"/>
    </row>
    <row r="23" spans="2:20" x14ac:dyDescent="0.2">
      <c r="B23" s="14"/>
      <c r="C23" s="7"/>
      <c r="D23" s="252"/>
      <c r="E23" s="259"/>
      <c r="F23" s="7"/>
      <c r="G23" s="7"/>
      <c r="H23" s="7"/>
      <c r="I23" s="8"/>
      <c r="J23" s="7"/>
      <c r="K23" s="8"/>
      <c r="L23" s="7"/>
      <c r="M23" s="7"/>
      <c r="N23" s="7"/>
      <c r="O23" s="8"/>
      <c r="P23" s="7"/>
      <c r="Q23" s="8"/>
      <c r="R23" s="7"/>
      <c r="S23" s="257"/>
      <c r="T23" s="15"/>
    </row>
    <row r="24" spans="2:20" x14ac:dyDescent="0.2">
      <c r="B24" s="14"/>
      <c r="C24" s="7"/>
      <c r="D24" s="252"/>
      <c r="E24" s="259"/>
      <c r="F24" s="7"/>
      <c r="G24" s="7"/>
      <c r="H24" s="7"/>
      <c r="I24" s="8"/>
      <c r="J24" s="7"/>
      <c r="K24" s="8"/>
      <c r="L24" s="7"/>
      <c r="M24" s="7"/>
      <c r="N24" s="7"/>
      <c r="O24" s="8"/>
      <c r="P24" s="7"/>
      <c r="Q24" s="8"/>
      <c r="R24" s="7"/>
      <c r="S24" s="257"/>
      <c r="T24" s="15"/>
    </row>
    <row r="25" spans="2:20" x14ac:dyDescent="0.2">
      <c r="B25" s="14"/>
      <c r="C25" s="7"/>
      <c r="D25" s="252"/>
      <c r="E25" s="259"/>
      <c r="F25" s="7"/>
      <c r="G25" s="7"/>
      <c r="H25" s="7"/>
      <c r="I25" s="8"/>
      <c r="J25" s="7"/>
      <c r="K25" s="8"/>
      <c r="L25" s="7"/>
      <c r="M25" s="7"/>
      <c r="N25" s="7"/>
      <c r="O25" s="8"/>
      <c r="P25" s="7"/>
      <c r="Q25" s="8"/>
      <c r="R25" s="7"/>
      <c r="S25" s="257"/>
      <c r="T25" s="15"/>
    </row>
    <row r="26" spans="2:20" x14ac:dyDescent="0.2">
      <c r="B26" s="14"/>
      <c r="C26" s="7"/>
      <c r="D26" s="252"/>
      <c r="E26" s="258"/>
      <c r="F26" s="7"/>
      <c r="G26" s="7"/>
      <c r="H26" s="7"/>
      <c r="I26" s="8"/>
      <c r="J26" s="7"/>
      <c r="K26" s="8"/>
      <c r="L26" s="7"/>
      <c r="M26" s="7"/>
      <c r="N26" s="7"/>
      <c r="O26" s="8"/>
      <c r="P26" s="7"/>
      <c r="Q26" s="8"/>
      <c r="R26" s="7"/>
      <c r="S26" s="257"/>
      <c r="T26" s="15"/>
    </row>
    <row r="27" spans="2:20" x14ac:dyDescent="0.2">
      <c r="B27" s="14"/>
      <c r="C27" s="7"/>
      <c r="D27" s="252"/>
      <c r="E27" s="258"/>
      <c r="F27" s="7"/>
      <c r="G27" s="7"/>
      <c r="H27" s="7"/>
      <c r="I27" s="8"/>
      <c r="J27" s="7"/>
      <c r="K27" s="8"/>
      <c r="L27" s="7"/>
      <c r="M27" s="7"/>
      <c r="N27" s="7"/>
      <c r="O27" s="8"/>
      <c r="P27" s="7"/>
      <c r="Q27" s="8"/>
      <c r="R27" s="7"/>
      <c r="S27" s="257"/>
      <c r="T27" s="15"/>
    </row>
    <row r="28" spans="2:20" x14ac:dyDescent="0.2">
      <c r="B28" s="14"/>
      <c r="C28" s="7"/>
      <c r="D28" s="252"/>
      <c r="E28" s="258"/>
      <c r="F28" s="7"/>
      <c r="G28" s="7"/>
      <c r="H28" s="7"/>
      <c r="I28" s="8"/>
      <c r="J28" s="7"/>
      <c r="K28" s="8"/>
      <c r="L28" s="7"/>
      <c r="M28" s="7"/>
      <c r="N28" s="7"/>
      <c r="O28" s="8"/>
      <c r="P28" s="7"/>
      <c r="Q28" s="8"/>
      <c r="R28" s="7"/>
      <c r="S28" s="257"/>
      <c r="T28" s="15"/>
    </row>
    <row r="29" spans="2:20" x14ac:dyDescent="0.2">
      <c r="B29" s="242"/>
      <c r="C29" s="7"/>
      <c r="D29" s="260"/>
      <c r="E29" s="255"/>
      <c r="F29" s="7"/>
      <c r="G29" s="7"/>
      <c r="H29" s="7"/>
      <c r="I29" s="8"/>
      <c r="J29" s="7"/>
      <c r="K29" s="8"/>
      <c r="L29" s="7"/>
      <c r="M29" s="7"/>
      <c r="N29" s="7"/>
      <c r="O29" s="8"/>
      <c r="P29" s="7"/>
      <c r="Q29" s="8"/>
      <c r="R29" s="7"/>
      <c r="S29" s="261"/>
      <c r="T29" s="15"/>
    </row>
    <row r="30" spans="2:20" x14ac:dyDescent="0.2">
      <c r="B30" s="14"/>
      <c r="C30" s="7"/>
      <c r="D30" s="260"/>
      <c r="E30" s="255"/>
      <c r="F30" s="7"/>
      <c r="G30" s="7"/>
      <c r="H30" s="7"/>
      <c r="I30" s="8"/>
      <c r="J30" s="7"/>
      <c r="K30" s="8"/>
      <c r="L30" s="7"/>
      <c r="M30" s="7"/>
      <c r="N30" s="7"/>
      <c r="O30" s="8"/>
      <c r="P30" s="7"/>
      <c r="Q30" s="8"/>
      <c r="R30" s="7"/>
      <c r="S30" s="261"/>
      <c r="T30" s="15"/>
    </row>
    <row r="31" spans="2:20" x14ac:dyDescent="0.2">
      <c r="B31" s="14"/>
      <c r="C31" s="7"/>
      <c r="D31" s="260"/>
      <c r="E31" s="255"/>
      <c r="F31" s="7"/>
      <c r="G31" s="7"/>
      <c r="H31" s="7"/>
      <c r="I31" s="8"/>
      <c r="J31" s="7"/>
      <c r="K31" s="8"/>
      <c r="L31" s="7"/>
      <c r="M31" s="7"/>
      <c r="N31" s="7"/>
      <c r="O31" s="8"/>
      <c r="P31" s="7"/>
      <c r="Q31" s="8"/>
      <c r="R31" s="7"/>
      <c r="S31" s="261"/>
      <c r="T31" s="15"/>
    </row>
    <row r="32" spans="2:20" x14ac:dyDescent="0.2">
      <c r="B32" s="14"/>
      <c r="C32" s="7"/>
      <c r="D32" s="260"/>
      <c r="E32" s="255"/>
      <c r="F32" s="7"/>
      <c r="G32" s="7"/>
      <c r="H32" s="7"/>
      <c r="I32" s="8"/>
      <c r="J32" s="7"/>
      <c r="K32" s="8"/>
      <c r="L32" s="7"/>
      <c r="M32" s="7"/>
      <c r="N32" s="7"/>
      <c r="O32" s="8"/>
      <c r="P32" s="7"/>
      <c r="Q32" s="8"/>
      <c r="R32" s="7"/>
      <c r="S32" s="261"/>
      <c r="T32" s="15"/>
    </row>
    <row r="33" spans="2:20" x14ac:dyDescent="0.2">
      <c r="B33" s="14"/>
      <c r="C33" s="7"/>
      <c r="D33" s="260"/>
      <c r="E33" s="255"/>
      <c r="F33" s="7"/>
      <c r="G33" s="7"/>
      <c r="H33" s="7"/>
      <c r="I33" s="8"/>
      <c r="J33" s="7"/>
      <c r="K33" s="8"/>
      <c r="L33" s="7"/>
      <c r="M33" s="7"/>
      <c r="N33" s="7"/>
      <c r="O33" s="8"/>
      <c r="P33" s="7"/>
      <c r="Q33" s="8"/>
      <c r="R33" s="7"/>
      <c r="S33" s="261"/>
      <c r="T33" s="15"/>
    </row>
    <row r="34" spans="2:20" x14ac:dyDescent="0.2">
      <c r="B34" s="14"/>
      <c r="C34" s="7"/>
      <c r="D34" s="260"/>
      <c r="E34" s="255"/>
      <c r="F34" s="7"/>
      <c r="G34" s="7"/>
      <c r="H34" s="7"/>
      <c r="I34" s="8"/>
      <c r="J34" s="7"/>
      <c r="K34" s="8"/>
      <c r="L34" s="7"/>
      <c r="M34" s="7"/>
      <c r="N34" s="7"/>
      <c r="O34" s="8"/>
      <c r="P34" s="7"/>
      <c r="Q34" s="8"/>
      <c r="R34" s="7"/>
      <c r="S34" s="261"/>
      <c r="T34" s="15"/>
    </row>
    <row r="35" spans="2:20" x14ac:dyDescent="0.2">
      <c r="B35" s="14"/>
      <c r="C35" s="7"/>
      <c r="D35" s="260"/>
      <c r="E35" s="255"/>
      <c r="F35" s="7"/>
      <c r="G35" s="7"/>
      <c r="H35" s="7"/>
      <c r="I35" s="8"/>
      <c r="J35" s="7"/>
      <c r="K35" s="8"/>
      <c r="L35" s="7"/>
      <c r="M35" s="7"/>
      <c r="N35" s="7"/>
      <c r="O35" s="8"/>
      <c r="P35" s="7"/>
      <c r="Q35" s="8"/>
      <c r="R35" s="7"/>
      <c r="S35" s="261"/>
      <c r="T35" s="15"/>
    </row>
    <row r="36" spans="2:20" x14ac:dyDescent="0.2">
      <c r="B36" s="14"/>
      <c r="C36" s="7"/>
      <c r="D36" s="260"/>
      <c r="E36" s="255"/>
      <c r="F36" s="7"/>
      <c r="G36" s="7"/>
      <c r="H36" s="7"/>
      <c r="I36" s="8"/>
      <c r="J36" s="7"/>
      <c r="K36" s="8"/>
      <c r="L36" s="7"/>
      <c r="M36" s="7"/>
      <c r="N36" s="7"/>
      <c r="O36" s="8"/>
      <c r="P36" s="7"/>
      <c r="Q36" s="8"/>
      <c r="R36" s="7"/>
      <c r="S36" s="261"/>
      <c r="T36" s="15"/>
    </row>
    <row r="37" spans="2:20" x14ac:dyDescent="0.2">
      <c r="B37" s="14"/>
      <c r="C37" s="7"/>
      <c r="D37" s="260"/>
      <c r="E37" s="255"/>
      <c r="F37" s="7"/>
      <c r="G37" s="7"/>
      <c r="H37" s="7"/>
      <c r="I37" s="8"/>
      <c r="J37" s="7"/>
      <c r="K37" s="8"/>
      <c r="L37" s="7"/>
      <c r="M37" s="7"/>
      <c r="N37" s="7"/>
      <c r="O37" s="8"/>
      <c r="P37" s="7"/>
      <c r="Q37" s="8"/>
      <c r="R37" s="7"/>
      <c r="S37" s="261"/>
      <c r="T37" s="15"/>
    </row>
    <row r="38" spans="2:20" x14ac:dyDescent="0.2">
      <c r="B38" s="14"/>
      <c r="C38" s="7"/>
      <c r="D38" s="260"/>
      <c r="E38" s="255"/>
      <c r="F38" s="7"/>
      <c r="G38" s="7"/>
      <c r="H38" s="7"/>
      <c r="I38" s="8"/>
      <c r="J38" s="7"/>
      <c r="K38" s="8"/>
      <c r="L38" s="7"/>
      <c r="M38" s="7"/>
      <c r="N38" s="7"/>
      <c r="O38" s="8"/>
      <c r="P38" s="7"/>
      <c r="Q38" s="8"/>
      <c r="R38" s="7"/>
      <c r="S38" s="261"/>
      <c r="T38" s="15"/>
    </row>
    <row r="39" spans="2:20" x14ac:dyDescent="0.2">
      <c r="B39" s="242"/>
      <c r="C39" s="7"/>
      <c r="D39" s="260"/>
      <c r="E39" s="255"/>
      <c r="F39" s="7"/>
      <c r="G39" s="7"/>
      <c r="H39" s="7"/>
      <c r="I39" s="8"/>
      <c r="J39" s="7"/>
      <c r="K39" s="8"/>
      <c r="L39" s="7"/>
      <c r="M39" s="7"/>
      <c r="N39" s="7"/>
      <c r="O39" s="8"/>
      <c r="P39" s="7"/>
      <c r="Q39" s="8"/>
      <c r="R39" s="7"/>
      <c r="S39" s="261"/>
      <c r="T39" s="15"/>
    </row>
    <row r="40" spans="2:20" x14ac:dyDescent="0.2">
      <c r="B40" s="14"/>
      <c r="C40" s="7"/>
      <c r="D40" s="260"/>
      <c r="E40" s="255"/>
      <c r="F40" s="7"/>
      <c r="G40" s="7"/>
      <c r="H40" s="7"/>
      <c r="I40" s="8"/>
      <c r="J40" s="7"/>
      <c r="K40" s="8"/>
      <c r="L40" s="7"/>
      <c r="M40" s="7"/>
      <c r="N40" s="7"/>
      <c r="O40" s="8"/>
      <c r="P40" s="7"/>
      <c r="Q40" s="8"/>
      <c r="R40" s="7"/>
      <c r="S40" s="261"/>
      <c r="T40" s="15"/>
    </row>
    <row r="41" spans="2:20" x14ac:dyDescent="0.2">
      <c r="B41" s="14"/>
      <c r="C41" s="7"/>
      <c r="D41" s="260"/>
      <c r="E41" s="255"/>
      <c r="F41" s="7"/>
      <c r="G41" s="7"/>
      <c r="H41" s="7"/>
      <c r="I41" s="8"/>
      <c r="J41" s="7"/>
      <c r="K41" s="8"/>
      <c r="L41" s="7"/>
      <c r="M41" s="7"/>
      <c r="N41" s="7"/>
      <c r="O41" s="8"/>
      <c r="P41" s="7"/>
      <c r="Q41" s="8"/>
      <c r="R41" s="7"/>
      <c r="S41" s="261"/>
      <c r="T41" s="15"/>
    </row>
    <row r="42" spans="2:20" x14ac:dyDescent="0.2">
      <c r="B42" s="14"/>
      <c r="C42" s="7"/>
      <c r="D42" s="260"/>
      <c r="E42" s="255"/>
      <c r="F42" s="7"/>
      <c r="G42" s="7"/>
      <c r="H42" s="7"/>
      <c r="I42" s="8"/>
      <c r="J42" s="7"/>
      <c r="K42" s="8"/>
      <c r="L42" s="7"/>
      <c r="M42" s="7"/>
      <c r="N42" s="7"/>
      <c r="O42" s="8"/>
      <c r="P42" s="7"/>
      <c r="Q42" s="8"/>
      <c r="R42" s="7"/>
      <c r="S42" s="261"/>
      <c r="T42" s="15"/>
    </row>
    <row r="43" spans="2:20" x14ac:dyDescent="0.2">
      <c r="B43" s="14"/>
      <c r="C43" s="7"/>
      <c r="D43" s="260"/>
      <c r="E43" s="255"/>
      <c r="F43" s="7"/>
      <c r="G43" s="7"/>
      <c r="H43" s="7"/>
      <c r="I43" s="8"/>
      <c r="J43" s="7"/>
      <c r="K43" s="8"/>
      <c r="L43" s="7"/>
      <c r="M43" s="7"/>
      <c r="N43" s="7"/>
      <c r="O43" s="8"/>
      <c r="P43" s="7"/>
      <c r="Q43" s="8"/>
      <c r="R43" s="7"/>
      <c r="S43" s="261"/>
      <c r="T43" s="15"/>
    </row>
    <row r="44" spans="2:20" x14ac:dyDescent="0.2">
      <c r="B44" s="14"/>
      <c r="C44" s="7"/>
      <c r="D44" s="260"/>
      <c r="E44" s="255"/>
      <c r="F44" s="7"/>
      <c r="G44" s="7"/>
      <c r="H44" s="7"/>
      <c r="I44" s="8"/>
      <c r="J44" s="7"/>
      <c r="K44" s="8"/>
      <c r="L44" s="7"/>
      <c r="M44" s="7"/>
      <c r="N44" s="7"/>
      <c r="O44" s="8"/>
      <c r="P44" s="7"/>
      <c r="Q44" s="8"/>
      <c r="R44" s="7"/>
      <c r="S44" s="261"/>
      <c r="T44" s="15"/>
    </row>
    <row r="45" spans="2:20" x14ac:dyDescent="0.2">
      <c r="B45" s="14"/>
      <c r="C45" s="7"/>
      <c r="D45" s="260"/>
      <c r="E45" s="255"/>
      <c r="F45" s="7"/>
      <c r="G45" s="7"/>
      <c r="H45" s="7"/>
      <c r="I45" s="8"/>
      <c r="J45" s="7"/>
      <c r="K45" s="8"/>
      <c r="L45" s="7"/>
      <c r="M45" s="7"/>
      <c r="N45" s="7"/>
      <c r="O45" s="8"/>
      <c r="P45" s="7"/>
      <c r="Q45" s="8"/>
      <c r="R45" s="221"/>
      <c r="S45" s="261"/>
      <c r="T45" s="262"/>
    </row>
    <row r="46" spans="2:20" x14ac:dyDescent="0.2">
      <c r="B46" s="14"/>
      <c r="C46" s="7"/>
      <c r="D46" s="221"/>
      <c r="E46" s="221"/>
      <c r="F46" s="7"/>
      <c r="G46" s="7"/>
      <c r="H46" s="7"/>
      <c r="I46" s="8"/>
      <c r="J46" s="7"/>
      <c r="K46" s="8"/>
      <c r="L46" s="7"/>
      <c r="M46" s="7"/>
      <c r="N46" s="7"/>
      <c r="O46" s="8"/>
      <c r="P46" s="7"/>
      <c r="Q46" s="8"/>
      <c r="R46" s="7"/>
      <c r="S46" s="263"/>
      <c r="T46" s="15"/>
    </row>
    <row r="47" spans="2:20" x14ac:dyDescent="0.2">
      <c r="B47" s="14"/>
      <c r="C47" s="7"/>
      <c r="D47" s="7"/>
      <c r="E47" s="7"/>
      <c r="F47" s="7"/>
      <c r="G47" s="7"/>
      <c r="H47" s="7"/>
      <c r="I47" s="8"/>
      <c r="J47" s="7"/>
      <c r="K47" s="8"/>
      <c r="L47" s="7"/>
      <c r="M47" s="7"/>
      <c r="N47" s="7"/>
      <c r="O47" s="8"/>
      <c r="P47" s="7"/>
      <c r="Q47" s="8"/>
      <c r="R47" s="7"/>
      <c r="S47" s="9"/>
      <c r="T47" s="15"/>
    </row>
    <row r="48" spans="2:20" ht="13.5" thickBot="1" x14ac:dyDescent="0.25">
      <c r="B48" s="16"/>
      <c r="C48" s="17"/>
      <c r="D48" s="17"/>
      <c r="E48" s="17"/>
      <c r="F48" s="17"/>
      <c r="G48" s="17"/>
      <c r="H48" s="17"/>
      <c r="I48" s="18"/>
      <c r="J48" s="17"/>
      <c r="K48" s="18"/>
      <c r="L48" s="17"/>
      <c r="M48" s="17"/>
      <c r="N48" s="17"/>
      <c r="O48" s="18"/>
      <c r="P48" s="17"/>
      <c r="Q48" s="18"/>
      <c r="R48" s="17"/>
      <c r="S48" s="19"/>
      <c r="T48" s="20"/>
    </row>
    <row r="49" spans="2:20" x14ac:dyDescent="0.2">
      <c r="B49" s="13"/>
      <c r="C49" s="13"/>
      <c r="D49" s="13"/>
      <c r="E49" s="13"/>
      <c r="F49" s="13"/>
      <c r="G49" s="13"/>
      <c r="H49" s="13"/>
      <c r="I49" s="1"/>
      <c r="J49" s="13"/>
      <c r="K49" s="1"/>
      <c r="L49" s="13"/>
      <c r="M49" s="13"/>
      <c r="N49" s="13"/>
      <c r="O49" s="1"/>
      <c r="P49" s="13"/>
      <c r="Q49" s="1"/>
      <c r="R49" s="13"/>
      <c r="S49" s="28" t="s">
        <v>811</v>
      </c>
      <c r="T49" s="26">
        <f>+SUM(T11:T45)</f>
        <v>6034.48</v>
      </c>
    </row>
    <row r="50" spans="2:20" x14ac:dyDescent="0.2">
      <c r="B50" s="13"/>
      <c r="C50" s="13"/>
      <c r="D50" s="1"/>
      <c r="E50" s="13"/>
      <c r="F50" s="1"/>
      <c r="G50" s="13"/>
      <c r="H50" s="1"/>
      <c r="I50" s="1"/>
      <c r="J50" s="13"/>
      <c r="K50" s="1"/>
      <c r="L50" s="1"/>
      <c r="M50" s="13"/>
      <c r="N50" s="1"/>
      <c r="O50" s="1"/>
      <c r="P50" s="13"/>
      <c r="Q50" s="1"/>
      <c r="R50" s="1"/>
      <c r="S50" s="142" t="s">
        <v>18</v>
      </c>
      <c r="T50" s="26">
        <f>+T49*0.16</f>
        <v>965.51679999999999</v>
      </c>
    </row>
    <row r="51" spans="2:20" x14ac:dyDescent="0.2">
      <c r="B51" s="13"/>
      <c r="C51" s="13"/>
      <c r="D51" s="1"/>
      <c r="E51" s="13"/>
      <c r="F51" s="1"/>
      <c r="G51" s="13"/>
      <c r="H51" s="1"/>
      <c r="I51" s="1"/>
      <c r="J51" s="13"/>
      <c r="K51" s="1"/>
      <c r="L51" s="1"/>
      <c r="M51" s="13"/>
      <c r="N51" s="1"/>
      <c r="O51" s="1"/>
      <c r="P51" s="13"/>
      <c r="Q51" s="1"/>
      <c r="R51" s="1"/>
      <c r="S51" s="142" t="s">
        <v>17</v>
      </c>
      <c r="T51" s="28">
        <f>+T49+T50</f>
        <v>6999.9967999999999</v>
      </c>
    </row>
    <row r="52" spans="2:20" x14ac:dyDescent="0.2">
      <c r="B52" s="13"/>
      <c r="C52" s="13"/>
      <c r="D52" s="1"/>
      <c r="E52" s="13"/>
      <c r="F52" s="1"/>
      <c r="G52" s="13"/>
      <c r="H52" s="1"/>
      <c r="I52" s="1"/>
      <c r="J52" s="13"/>
      <c r="K52" s="1"/>
      <c r="L52" s="1"/>
      <c r="M52" s="13"/>
      <c r="N52" s="1"/>
      <c r="O52" s="1"/>
      <c r="P52" s="13"/>
      <c r="Q52" s="1"/>
      <c r="R52" s="1"/>
      <c r="S52" s="141"/>
      <c r="T52" s="141"/>
    </row>
    <row r="53" spans="2:20" x14ac:dyDescent="0.2">
      <c r="B53" s="1"/>
      <c r="C53" s="1"/>
      <c r="D53" s="1"/>
      <c r="E53" s="1"/>
      <c r="F53" s="1"/>
      <c r="G53" s="13"/>
      <c r="H53" s="1"/>
      <c r="I53" s="1"/>
      <c r="J53" s="13"/>
      <c r="K53" s="1"/>
      <c r="L53" s="1"/>
      <c r="M53" s="13"/>
      <c r="N53" s="1"/>
      <c r="O53" s="1"/>
      <c r="P53" s="13"/>
      <c r="Q53" s="1"/>
      <c r="R53" s="1"/>
      <c r="S53" s="1"/>
      <c r="T53" s="12"/>
    </row>
    <row r="54" spans="2:20" x14ac:dyDescent="0.2">
      <c r="B54" s="1"/>
      <c r="C54" s="1"/>
      <c r="D54" s="1"/>
      <c r="E54" s="1"/>
      <c r="F54" s="1"/>
      <c r="G54" s="13"/>
      <c r="H54" s="1"/>
      <c r="I54" s="1"/>
      <c r="J54" s="13"/>
      <c r="K54" s="1"/>
      <c r="L54" s="1"/>
      <c r="M54" s="13"/>
      <c r="N54" s="1"/>
      <c r="O54" s="1"/>
      <c r="P54" s="13"/>
      <c r="Q54" s="1"/>
      <c r="R54" s="1"/>
      <c r="S54" s="1"/>
      <c r="T54" s="1"/>
    </row>
    <row r="55" spans="2:20" x14ac:dyDescent="0.2">
      <c r="B55" s="29"/>
      <c r="C55" s="29"/>
      <c r="D55" s="29"/>
      <c r="E55" s="29"/>
      <c r="F55" s="29"/>
      <c r="G55" s="42"/>
      <c r="H55" s="29"/>
      <c r="I55" s="29"/>
      <c r="J55" s="42"/>
      <c r="K55" s="29"/>
      <c r="L55" s="29"/>
      <c r="M55" s="42"/>
      <c r="N55" s="29"/>
      <c r="O55" s="29"/>
      <c r="P55" s="42"/>
      <c r="Q55" s="29"/>
      <c r="R55" s="29"/>
      <c r="S55" s="29"/>
      <c r="T55" s="29"/>
    </row>
    <row r="56" spans="2:20" x14ac:dyDescent="0.2">
      <c r="B56" s="29"/>
      <c r="C56" s="29"/>
      <c r="D56" s="29"/>
      <c r="E56" s="29"/>
      <c r="F56" s="29"/>
      <c r="G56" s="42"/>
      <c r="H56" s="29"/>
      <c r="I56" s="29"/>
      <c r="J56" s="42"/>
      <c r="K56" s="29"/>
      <c r="L56" s="29"/>
      <c r="M56" s="42"/>
      <c r="N56" s="29"/>
      <c r="O56" s="29"/>
      <c r="P56" s="42"/>
      <c r="Q56" s="29"/>
      <c r="R56" s="29"/>
      <c r="S56" s="29"/>
      <c r="T56" s="29"/>
    </row>
  </sheetData>
  <mergeCells count="4">
    <mergeCell ref="B5:T5"/>
    <mergeCell ref="B6:T6"/>
    <mergeCell ref="B7:T7"/>
    <mergeCell ref="B8:C8"/>
  </mergeCells>
  <pageMargins left="0.22" right="0.16" top="0.6" bottom="0.74803149606299213" header="0.31496062992125984" footer="0.31496062992125984"/>
  <pageSetup scale="6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8" zoomScale="115" zoomScaleNormal="115" workbookViewId="0">
      <selection activeCell="A26" sqref="A2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302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303</v>
      </c>
      <c r="E11" s="33" t="s">
        <v>293</v>
      </c>
      <c r="F11" s="66"/>
      <c r="G11" s="66"/>
      <c r="H11" s="66"/>
      <c r="I11" s="30"/>
      <c r="J11" s="53"/>
      <c r="K11" s="54"/>
      <c r="L11" s="69"/>
      <c r="M11" s="69">
        <v>2</v>
      </c>
      <c r="N11" s="69"/>
      <c r="O11" s="53"/>
      <c r="P11" s="54"/>
      <c r="Q11" s="54"/>
      <c r="R11" s="53">
        <f>SUM(F11:Q11)</f>
        <v>2</v>
      </c>
      <c r="S11" s="55"/>
      <c r="T11" s="56">
        <v>13624.2</v>
      </c>
    </row>
    <row r="12" spans="2:25" s="45" customFormat="1" x14ac:dyDescent="0.2">
      <c r="B12" s="30"/>
      <c r="C12" s="30"/>
      <c r="D12" s="32" t="s">
        <v>398</v>
      </c>
      <c r="E12" s="33" t="s">
        <v>293</v>
      </c>
      <c r="F12" s="66">
        <v>1</v>
      </c>
      <c r="G12" s="66"/>
      <c r="H12" s="66"/>
      <c r="I12" s="30"/>
      <c r="J12" s="30">
        <v>1</v>
      </c>
      <c r="K12" s="57"/>
      <c r="L12" s="66"/>
      <c r="M12" s="66"/>
      <c r="N12" s="66"/>
      <c r="O12" s="30"/>
      <c r="P12" s="57"/>
      <c r="Q12" s="57"/>
      <c r="R12" s="30">
        <f>+SUM(F12:Q12)</f>
        <v>2</v>
      </c>
      <c r="S12" s="58">
        <v>1450</v>
      </c>
      <c r="T12" s="59">
        <f>+S12*R12</f>
        <v>2900</v>
      </c>
    </row>
    <row r="13" spans="2:25" s="45" customFormat="1" x14ac:dyDescent="0.2">
      <c r="B13" s="30"/>
      <c r="C13" s="30"/>
      <c r="D13" s="32" t="s">
        <v>399</v>
      </c>
      <c r="E13" s="33" t="s">
        <v>293</v>
      </c>
      <c r="F13" s="66">
        <v>1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1</v>
      </c>
      <c r="S13" s="58">
        <v>1419</v>
      </c>
      <c r="T13" s="59">
        <f>+S13*R13</f>
        <v>1419</v>
      </c>
    </row>
    <row r="14" spans="2:25" s="45" customFormat="1" ht="13.5" thickBot="1" x14ac:dyDescent="0.25">
      <c r="B14" s="30"/>
      <c r="C14" s="30"/>
      <c r="D14" s="32" t="s">
        <v>400</v>
      </c>
      <c r="E14" s="33" t="s">
        <v>293</v>
      </c>
      <c r="F14" s="66">
        <v>1</v>
      </c>
      <c r="G14" s="66"/>
      <c r="H14" s="66"/>
      <c r="I14" s="30"/>
      <c r="J14" s="30">
        <v>1</v>
      </c>
      <c r="K14" s="57"/>
      <c r="L14" s="66"/>
      <c r="M14" s="66"/>
      <c r="N14" s="66"/>
      <c r="O14" s="30"/>
      <c r="P14" s="57"/>
      <c r="Q14" s="57"/>
      <c r="R14" s="30">
        <f t="shared" ref="R14:R25" si="0">+SUM(F14:Q14)</f>
        <v>2</v>
      </c>
      <c r="S14" s="58">
        <v>1500</v>
      </c>
      <c r="T14" s="59">
        <f>+S14*R14</f>
        <v>3000</v>
      </c>
    </row>
    <row r="15" spans="2:25" s="45" customFormat="1" ht="22.5" x14ac:dyDescent="0.2">
      <c r="B15" s="30"/>
      <c r="C15" s="30"/>
      <c r="D15" s="143" t="s">
        <v>499</v>
      </c>
      <c r="E15" s="7" t="s">
        <v>493</v>
      </c>
      <c r="F15" s="135">
        <f>R15</f>
        <v>2</v>
      </c>
      <c r="G15" s="134"/>
      <c r="H15" s="135"/>
      <c r="I15" s="134"/>
      <c r="J15" s="135"/>
      <c r="K15" s="134"/>
      <c r="L15" s="135"/>
      <c r="M15" s="134"/>
      <c r="N15" s="135"/>
      <c r="O15" s="134"/>
      <c r="P15" s="134"/>
      <c r="Q15" s="134"/>
      <c r="R15" s="134">
        <v>2</v>
      </c>
      <c r="S15" s="134">
        <v>3495.75</v>
      </c>
      <c r="T15" s="138">
        <f>S15*R15</f>
        <v>6991.5</v>
      </c>
    </row>
    <row r="16" spans="2:25" s="45" customFormat="1" ht="22.5" x14ac:dyDescent="0.2">
      <c r="B16" s="30"/>
      <c r="C16" s="30"/>
      <c r="D16" s="143" t="s">
        <v>500</v>
      </c>
      <c r="E16" s="7" t="s">
        <v>493</v>
      </c>
      <c r="F16" s="7">
        <f t="shared" ref="F16:F17" si="1">R16</f>
        <v>2</v>
      </c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>
        <v>2</v>
      </c>
      <c r="S16" s="145">
        <f>(1695.2+5/1.16)+500/1.16</f>
        <v>2130.5448275862072</v>
      </c>
      <c r="T16" s="15">
        <f t="shared" ref="T16:T17" si="2">S16*R16</f>
        <v>4261.0896551724145</v>
      </c>
    </row>
    <row r="17" spans="2:20" s="45" customFormat="1" ht="34.5" thickBot="1" x14ac:dyDescent="0.25">
      <c r="B17" s="30"/>
      <c r="C17" s="30"/>
      <c r="D17" s="143" t="s">
        <v>501</v>
      </c>
      <c r="E17" s="7" t="s">
        <v>493</v>
      </c>
      <c r="F17" s="7">
        <f t="shared" si="1"/>
        <v>1</v>
      </c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>
        <v>1</v>
      </c>
      <c r="S17" s="145">
        <f>2506.49+(39.46/1.16)</f>
        <v>2540.50724137931</v>
      </c>
      <c r="T17" s="15">
        <f t="shared" si="2"/>
        <v>2540.50724137931</v>
      </c>
    </row>
    <row r="18" spans="2:20" s="45" customFormat="1" ht="13.5" thickBot="1" x14ac:dyDescent="0.25">
      <c r="B18" s="30"/>
      <c r="C18" s="30"/>
      <c r="D18" s="135" t="s">
        <v>544</v>
      </c>
      <c r="E18" s="135" t="s">
        <v>164</v>
      </c>
      <c r="F18" s="135">
        <v>1</v>
      </c>
      <c r="G18" s="134"/>
      <c r="H18" s="135"/>
      <c r="I18" s="134">
        <v>1</v>
      </c>
      <c r="J18" s="135"/>
      <c r="K18" s="134"/>
      <c r="L18" s="135"/>
      <c r="M18" s="134"/>
      <c r="N18" s="135"/>
      <c r="O18" s="134"/>
      <c r="P18" s="134"/>
      <c r="Q18" s="134"/>
      <c r="R18" s="135">
        <v>1</v>
      </c>
      <c r="S18" s="153">
        <v>17451.72</v>
      </c>
      <c r="T18" s="138">
        <f>S18*R18</f>
        <v>17451.72</v>
      </c>
    </row>
    <row r="19" spans="2:20" s="45" customFormat="1" ht="13.5" thickBot="1" x14ac:dyDescent="0.25">
      <c r="B19" s="30"/>
      <c r="C19" s="30"/>
      <c r="D19" s="7" t="s">
        <v>545</v>
      </c>
      <c r="E19" s="7" t="s">
        <v>164</v>
      </c>
      <c r="F19" s="7">
        <v>3</v>
      </c>
      <c r="G19" s="8"/>
      <c r="H19" s="7"/>
      <c r="I19" s="8">
        <v>3</v>
      </c>
      <c r="J19" s="7"/>
      <c r="K19" s="8"/>
      <c r="L19" s="7"/>
      <c r="M19" s="8"/>
      <c r="N19" s="7"/>
      <c r="O19" s="8"/>
      <c r="P19" s="8"/>
      <c r="Q19" s="8"/>
      <c r="R19" s="7">
        <v>1</v>
      </c>
      <c r="S19" s="9">
        <v>900</v>
      </c>
      <c r="T19" s="138">
        <f t="shared" ref="T19:T20" si="3">S19*R19</f>
        <v>900</v>
      </c>
    </row>
    <row r="20" spans="2:20" s="45" customFormat="1" x14ac:dyDescent="0.2">
      <c r="B20" s="30"/>
      <c r="C20" s="30"/>
      <c r="D20" s="7" t="s">
        <v>546</v>
      </c>
      <c r="E20" s="7" t="s">
        <v>164</v>
      </c>
      <c r="F20" s="7">
        <v>4</v>
      </c>
      <c r="G20" s="8"/>
      <c r="H20" s="7"/>
      <c r="I20" s="8">
        <v>4</v>
      </c>
      <c r="J20" s="7"/>
      <c r="K20" s="8"/>
      <c r="L20" s="7"/>
      <c r="M20" s="8"/>
      <c r="N20" s="7"/>
      <c r="O20" s="8"/>
      <c r="P20" s="8"/>
      <c r="Q20" s="8"/>
      <c r="R20" s="7">
        <v>1</v>
      </c>
      <c r="S20" s="9">
        <v>3200</v>
      </c>
      <c r="T20" s="138">
        <f t="shared" si="3"/>
        <v>3200</v>
      </c>
    </row>
    <row r="21" spans="2:20" s="45" customFormat="1" x14ac:dyDescent="0.2">
      <c r="B21" s="30"/>
      <c r="C21" s="30"/>
      <c r="D21" s="31" t="s">
        <v>826</v>
      </c>
      <c r="E21" s="33" t="s">
        <v>293</v>
      </c>
      <c r="F21" s="66"/>
      <c r="G21" s="66">
        <v>1</v>
      </c>
      <c r="H21" s="66"/>
      <c r="I21" s="30"/>
      <c r="J21" s="30">
        <v>1</v>
      </c>
      <c r="K21" s="57"/>
      <c r="L21" s="66"/>
      <c r="M21" s="66"/>
      <c r="N21" s="66"/>
      <c r="O21" s="30"/>
      <c r="P21" s="57"/>
      <c r="Q21" s="57"/>
      <c r="R21" s="30">
        <f t="shared" si="0"/>
        <v>2</v>
      </c>
      <c r="S21" s="58">
        <v>600</v>
      </c>
      <c r="T21" s="59">
        <f t="shared" ref="T21:T25" si="4">+S21*R21</f>
        <v>1200</v>
      </c>
    </row>
    <row r="22" spans="2:20" s="45" customFormat="1" x14ac:dyDescent="0.2">
      <c r="B22" s="30"/>
      <c r="C22" s="30"/>
      <c r="D22" s="31" t="s">
        <v>827</v>
      </c>
      <c r="E22" s="33" t="s">
        <v>293</v>
      </c>
      <c r="F22" s="66"/>
      <c r="G22" s="66"/>
      <c r="H22" s="66"/>
      <c r="I22" s="30"/>
      <c r="J22" s="30">
        <v>1</v>
      </c>
      <c r="K22" s="57"/>
      <c r="L22" s="66"/>
      <c r="M22" s="66">
        <v>1</v>
      </c>
      <c r="N22" s="66"/>
      <c r="O22" s="30"/>
      <c r="P22" s="57"/>
      <c r="Q22" s="57"/>
      <c r="R22" s="30">
        <f t="shared" si="0"/>
        <v>2</v>
      </c>
      <c r="S22" s="58">
        <v>360</v>
      </c>
      <c r="T22" s="59">
        <f t="shared" si="4"/>
        <v>720</v>
      </c>
    </row>
    <row r="23" spans="2:20" s="45" customFormat="1" x14ac:dyDescent="0.2">
      <c r="B23" s="30"/>
      <c r="C23" s="30"/>
      <c r="D23" s="31" t="s">
        <v>828</v>
      </c>
      <c r="E23" s="33"/>
      <c r="F23" s="66"/>
      <c r="G23" s="66">
        <v>1</v>
      </c>
      <c r="H23" s="66"/>
      <c r="I23" s="30"/>
      <c r="J23" s="30">
        <v>1</v>
      </c>
      <c r="K23" s="57"/>
      <c r="L23" s="66"/>
      <c r="M23" s="66"/>
      <c r="N23" s="66"/>
      <c r="O23" s="30"/>
      <c r="P23" s="57"/>
      <c r="Q23" s="57"/>
      <c r="R23" s="30">
        <f t="shared" si="0"/>
        <v>2</v>
      </c>
      <c r="S23" s="58">
        <v>900</v>
      </c>
      <c r="T23" s="59">
        <f t="shared" si="4"/>
        <v>1800</v>
      </c>
    </row>
    <row r="24" spans="2:20" s="45" customFormat="1" x14ac:dyDescent="0.2">
      <c r="B24" s="30"/>
      <c r="C24" s="30"/>
      <c r="D24" s="32" t="s">
        <v>829</v>
      </c>
      <c r="E24" s="33"/>
      <c r="F24" s="66"/>
      <c r="G24" s="66"/>
      <c r="H24" s="66"/>
      <c r="I24" s="30"/>
      <c r="J24" s="30">
        <v>1</v>
      </c>
      <c r="K24" s="57"/>
      <c r="L24" s="66"/>
      <c r="M24" s="66"/>
      <c r="N24" s="66"/>
      <c r="O24" s="30"/>
      <c r="P24" s="57"/>
      <c r="Q24" s="57"/>
      <c r="R24" s="30">
        <f t="shared" si="0"/>
        <v>1</v>
      </c>
      <c r="S24" s="58">
        <v>180</v>
      </c>
      <c r="T24" s="59">
        <f t="shared" si="4"/>
        <v>180</v>
      </c>
    </row>
    <row r="25" spans="2:20" x14ac:dyDescent="0.2">
      <c r="B25" s="30"/>
      <c r="C25" s="7"/>
      <c r="D25" s="32" t="s">
        <v>830</v>
      </c>
      <c r="E25" s="33"/>
      <c r="F25" s="73"/>
      <c r="G25" s="66"/>
      <c r="H25" s="73"/>
      <c r="I25" s="7"/>
      <c r="J25" s="7">
        <v>1</v>
      </c>
      <c r="K25" s="8"/>
      <c r="L25" s="73"/>
      <c r="M25" s="74"/>
      <c r="N25" s="73"/>
      <c r="O25" s="8"/>
      <c r="P25" s="8"/>
      <c r="Q25" s="8"/>
      <c r="R25" s="7">
        <f t="shared" si="0"/>
        <v>1</v>
      </c>
      <c r="S25" s="9">
        <v>2103.91</v>
      </c>
      <c r="T25" s="34">
        <f t="shared" si="4"/>
        <v>2103.91</v>
      </c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9966.7083034482766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72258.635200000004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41"/>
  <sheetViews>
    <sheetView topLeftCell="A20" zoomScale="115" zoomScaleNormal="115" workbookViewId="0">
      <selection activeCell="A29" sqref="A2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202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>
        <v>29601</v>
      </c>
      <c r="D11" s="32" t="s">
        <v>203</v>
      </c>
      <c r="E11" s="33" t="s">
        <v>85</v>
      </c>
      <c r="F11" s="66"/>
      <c r="G11" s="66"/>
      <c r="H11" s="66">
        <v>1</v>
      </c>
      <c r="I11" s="30">
        <v>1</v>
      </c>
      <c r="J11" s="53"/>
      <c r="K11" s="54"/>
      <c r="L11" s="69"/>
      <c r="M11" s="69">
        <v>1</v>
      </c>
      <c r="N11" s="69"/>
      <c r="O11" s="53"/>
      <c r="P11" s="54"/>
      <c r="Q11" s="54"/>
      <c r="R11" s="53">
        <f>SUM(F11:Q11)</f>
        <v>3</v>
      </c>
      <c r="S11" s="55"/>
      <c r="T11" s="56">
        <f>2320+1422.41+591.6</f>
        <v>4334.01</v>
      </c>
    </row>
    <row r="12" spans="2:25" s="45" customFormat="1" x14ac:dyDescent="0.2">
      <c r="B12" s="30">
        <v>2</v>
      </c>
      <c r="C12" s="30">
        <v>29601</v>
      </c>
      <c r="D12" s="32" t="s">
        <v>221</v>
      </c>
      <c r="E12" s="33" t="s">
        <v>85</v>
      </c>
      <c r="F12" s="66">
        <v>6</v>
      </c>
      <c r="G12" s="66"/>
      <c r="H12" s="66">
        <v>2</v>
      </c>
      <c r="I12" s="30">
        <v>7</v>
      </c>
      <c r="J12" s="30">
        <v>1</v>
      </c>
      <c r="K12" s="57">
        <v>38</v>
      </c>
      <c r="L12" s="66">
        <v>2</v>
      </c>
      <c r="M12" s="66">
        <v>1</v>
      </c>
      <c r="N12" s="66"/>
      <c r="O12" s="30"/>
      <c r="P12" s="57"/>
      <c r="Q12" s="57"/>
      <c r="R12" s="30">
        <f>+SUM(F12:Q12)</f>
        <v>57</v>
      </c>
      <c r="S12" s="58"/>
      <c r="T12" s="59">
        <f>696+564.12+570+591.6+3554</f>
        <v>5975.7199999999993</v>
      </c>
    </row>
    <row r="13" spans="2:25" s="45" customFormat="1" x14ac:dyDescent="0.2">
      <c r="B13" s="30">
        <v>2</v>
      </c>
      <c r="C13" s="30">
        <v>29601</v>
      </c>
      <c r="D13" s="32" t="s">
        <v>323</v>
      </c>
      <c r="E13" s="33" t="s">
        <v>85</v>
      </c>
      <c r="F13" s="66"/>
      <c r="G13" s="66"/>
      <c r="H13" s="66">
        <v>2</v>
      </c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2</v>
      </c>
      <c r="S13" s="58"/>
      <c r="T13" s="59">
        <f>+S13*R13</f>
        <v>0</v>
      </c>
    </row>
    <row r="14" spans="2:25" s="45" customFormat="1" x14ac:dyDescent="0.2">
      <c r="B14" s="30">
        <v>3</v>
      </c>
      <c r="C14" s="30">
        <v>29601</v>
      </c>
      <c r="D14" s="32" t="s">
        <v>324</v>
      </c>
      <c r="E14" s="33" t="s">
        <v>85</v>
      </c>
      <c r="F14" s="66">
        <v>1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18" si="0">+SUM(F14:Q14)</f>
        <v>1</v>
      </c>
      <c r="S14" s="58"/>
      <c r="T14" s="59">
        <f>+S14*R14</f>
        <v>0</v>
      </c>
    </row>
    <row r="15" spans="2:25" s="45" customFormat="1" x14ac:dyDescent="0.2">
      <c r="B15" s="30">
        <v>4</v>
      </c>
      <c r="C15" s="30">
        <v>29601</v>
      </c>
      <c r="D15" s="32" t="s">
        <v>325</v>
      </c>
      <c r="E15" s="33" t="s">
        <v>85</v>
      </c>
      <c r="F15" s="66">
        <v>1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1</v>
      </c>
      <c r="S15" s="58"/>
      <c r="T15" s="59">
        <f t="shared" ref="T15:T18" si="1">+S15*R15</f>
        <v>0</v>
      </c>
    </row>
    <row r="16" spans="2:25" s="45" customFormat="1" x14ac:dyDescent="0.2">
      <c r="B16" s="30">
        <v>5</v>
      </c>
      <c r="C16" s="30">
        <v>29601</v>
      </c>
      <c r="D16" s="32" t="s">
        <v>326</v>
      </c>
      <c r="E16" s="33" t="s">
        <v>85</v>
      </c>
      <c r="F16" s="66"/>
      <c r="G16" s="66">
        <v>2</v>
      </c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2</v>
      </c>
      <c r="S16" s="58"/>
      <c r="T16" s="59">
        <f t="shared" si="1"/>
        <v>0</v>
      </c>
    </row>
    <row r="17" spans="2:20" s="45" customFormat="1" x14ac:dyDescent="0.2">
      <c r="B17" s="30">
        <v>6</v>
      </c>
      <c r="C17" s="30">
        <v>29601</v>
      </c>
      <c r="D17" s="32" t="s">
        <v>327</v>
      </c>
      <c r="E17" s="33" t="s">
        <v>85</v>
      </c>
      <c r="F17" s="66"/>
      <c r="G17" s="66">
        <v>1</v>
      </c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1</v>
      </c>
      <c r="S17" s="58"/>
      <c r="T17" s="59">
        <f t="shared" si="1"/>
        <v>0</v>
      </c>
    </row>
    <row r="18" spans="2:20" s="45" customFormat="1" ht="13.5" thickBot="1" x14ac:dyDescent="0.25">
      <c r="B18" s="30">
        <v>7</v>
      </c>
      <c r="C18" s="30">
        <v>29601</v>
      </c>
      <c r="D18" s="32" t="s">
        <v>328</v>
      </c>
      <c r="E18" s="33" t="s">
        <v>85</v>
      </c>
      <c r="F18" s="66">
        <v>1</v>
      </c>
      <c r="G18" s="66">
        <v>6</v>
      </c>
      <c r="H18" s="66"/>
      <c r="I18" s="30">
        <v>2</v>
      </c>
      <c r="J18" s="30">
        <v>2</v>
      </c>
      <c r="K18" s="57">
        <v>2</v>
      </c>
      <c r="L18" s="66">
        <v>2</v>
      </c>
      <c r="M18" s="66">
        <v>2</v>
      </c>
      <c r="N18" s="66">
        <v>2</v>
      </c>
      <c r="O18" s="30"/>
      <c r="P18" s="57"/>
      <c r="Q18" s="57"/>
      <c r="R18" s="30">
        <f t="shared" si="0"/>
        <v>19</v>
      </c>
      <c r="S18" s="58"/>
      <c r="T18" s="59">
        <f t="shared" si="1"/>
        <v>0</v>
      </c>
    </row>
    <row r="19" spans="2:20" s="45" customFormat="1" ht="13.5" thickBot="1" x14ac:dyDescent="0.25">
      <c r="B19" s="30"/>
      <c r="C19" s="30"/>
      <c r="D19" s="139" t="s">
        <v>541</v>
      </c>
      <c r="E19" s="7" t="s">
        <v>164</v>
      </c>
      <c r="F19" s="7">
        <v>1</v>
      </c>
      <c r="G19" s="8"/>
      <c r="H19" s="7"/>
      <c r="I19" s="8"/>
      <c r="J19" s="7">
        <v>1</v>
      </c>
      <c r="K19" s="8"/>
      <c r="L19" s="7"/>
      <c r="M19" s="8"/>
      <c r="N19" s="7">
        <v>1</v>
      </c>
      <c r="O19" s="8"/>
      <c r="P19" s="8"/>
      <c r="Q19" s="8">
        <v>1</v>
      </c>
      <c r="R19" s="7">
        <v>4</v>
      </c>
      <c r="S19" s="9">
        <v>2500</v>
      </c>
      <c r="T19" s="138">
        <f t="shared" ref="T19:T21" si="2">S19*R19</f>
        <v>10000</v>
      </c>
    </row>
    <row r="20" spans="2:20" s="45" customFormat="1" ht="13.5" thickBot="1" x14ac:dyDescent="0.25">
      <c r="B20" s="30"/>
      <c r="C20" s="30"/>
      <c r="D20" s="139" t="s">
        <v>542</v>
      </c>
      <c r="E20" s="7" t="s">
        <v>164</v>
      </c>
      <c r="F20" s="7">
        <v>1</v>
      </c>
      <c r="G20" s="8"/>
      <c r="H20" s="7"/>
      <c r="I20" s="8"/>
      <c r="J20" s="7">
        <v>1</v>
      </c>
      <c r="K20" s="8"/>
      <c r="L20" s="7"/>
      <c r="M20" s="8"/>
      <c r="N20" s="7">
        <v>1</v>
      </c>
      <c r="O20" s="8"/>
      <c r="P20" s="8"/>
      <c r="Q20" s="8">
        <v>1</v>
      </c>
      <c r="R20" s="7">
        <v>4</v>
      </c>
      <c r="S20" s="9">
        <v>150</v>
      </c>
      <c r="T20" s="138">
        <f t="shared" si="2"/>
        <v>600</v>
      </c>
    </row>
    <row r="21" spans="2:20" s="45" customFormat="1" x14ac:dyDescent="0.2">
      <c r="B21" s="30"/>
      <c r="C21" s="30"/>
      <c r="D21" s="139" t="s">
        <v>543</v>
      </c>
      <c r="E21" s="7" t="s">
        <v>164</v>
      </c>
      <c r="F21" s="7">
        <v>2</v>
      </c>
      <c r="G21" s="8"/>
      <c r="H21" s="7"/>
      <c r="I21" s="8"/>
      <c r="J21" s="7"/>
      <c r="K21" s="8"/>
      <c r="L21" s="7">
        <v>2</v>
      </c>
      <c r="M21" s="8"/>
      <c r="N21" s="7"/>
      <c r="O21" s="8"/>
      <c r="P21" s="8"/>
      <c r="Q21" s="8"/>
      <c r="R21" s="7">
        <v>4</v>
      </c>
      <c r="S21" s="9">
        <v>650</v>
      </c>
      <c r="T21" s="138">
        <f t="shared" si="2"/>
        <v>2600</v>
      </c>
    </row>
    <row r="22" spans="2:20" s="45" customFormat="1" x14ac:dyDescent="0.2">
      <c r="B22" s="30"/>
      <c r="C22" s="30"/>
      <c r="D22" s="213" t="s">
        <v>730</v>
      </c>
      <c r="E22" s="207" t="s">
        <v>493</v>
      </c>
      <c r="F22" s="7"/>
      <c r="G22" s="7"/>
      <c r="H22" s="7"/>
      <c r="I22" s="208">
        <v>2</v>
      </c>
      <c r="J22" s="202"/>
      <c r="K22" s="7"/>
      <c r="L22" s="7"/>
      <c r="M22" s="7">
        <v>2</v>
      </c>
      <c r="N22" s="7"/>
      <c r="O22" s="7"/>
      <c r="P22" s="7"/>
      <c r="Q22" s="7"/>
      <c r="R22" s="7">
        <f t="shared" ref="R22:R31" si="3">SUM(F22:Q22)</f>
        <v>4</v>
      </c>
      <c r="S22" s="209">
        <v>200</v>
      </c>
      <c r="T22" s="15">
        <f>+R22*S22</f>
        <v>800</v>
      </c>
    </row>
    <row r="23" spans="2:20" s="45" customFormat="1" x14ac:dyDescent="0.2">
      <c r="B23" s="30"/>
      <c r="C23" s="30"/>
      <c r="D23" s="179" t="s">
        <v>731</v>
      </c>
      <c r="E23" s="210" t="s">
        <v>493</v>
      </c>
      <c r="F23" s="7"/>
      <c r="G23" s="7"/>
      <c r="H23" s="7"/>
      <c r="I23" s="211">
        <v>2</v>
      </c>
      <c r="J23" s="185"/>
      <c r="K23" s="7"/>
      <c r="L23" s="7"/>
      <c r="M23" s="7">
        <v>2</v>
      </c>
      <c r="N23" s="7"/>
      <c r="O23" s="7"/>
      <c r="P23" s="7"/>
      <c r="Q23" s="7"/>
      <c r="R23" s="157">
        <f t="shared" si="3"/>
        <v>4</v>
      </c>
      <c r="S23" s="212">
        <v>100</v>
      </c>
      <c r="T23" s="15">
        <f t="shared" ref="T23:T31" si="4">+R23*S23</f>
        <v>400</v>
      </c>
    </row>
    <row r="24" spans="2:20" s="45" customFormat="1" x14ac:dyDescent="0.2">
      <c r="B24" s="30"/>
      <c r="C24" s="30"/>
      <c r="D24" s="179" t="s">
        <v>732</v>
      </c>
      <c r="E24" s="210" t="s">
        <v>493</v>
      </c>
      <c r="F24" s="7"/>
      <c r="G24" s="7"/>
      <c r="H24" s="7"/>
      <c r="I24" s="211">
        <v>2</v>
      </c>
      <c r="J24" s="185"/>
      <c r="K24" s="7"/>
      <c r="L24" s="7"/>
      <c r="M24" s="7">
        <v>2</v>
      </c>
      <c r="N24" s="7"/>
      <c r="O24" s="7"/>
      <c r="P24" s="7"/>
      <c r="Q24" s="7"/>
      <c r="R24" s="157">
        <f t="shared" si="3"/>
        <v>4</v>
      </c>
      <c r="S24" s="212">
        <v>80</v>
      </c>
      <c r="T24" s="15">
        <f t="shared" si="4"/>
        <v>320</v>
      </c>
    </row>
    <row r="25" spans="2:20" x14ac:dyDescent="0.2">
      <c r="B25" s="30"/>
      <c r="C25" s="7"/>
      <c r="D25" s="179" t="s">
        <v>221</v>
      </c>
      <c r="E25" s="210" t="s">
        <v>493</v>
      </c>
      <c r="F25" s="7"/>
      <c r="G25" s="7"/>
      <c r="H25" s="7"/>
      <c r="I25" s="211">
        <v>8</v>
      </c>
      <c r="J25" s="185"/>
      <c r="K25" s="7"/>
      <c r="L25" s="7"/>
      <c r="M25" s="7">
        <v>4</v>
      </c>
      <c r="N25" s="7"/>
      <c r="O25" s="7"/>
      <c r="P25" s="7"/>
      <c r="Q25" s="7"/>
      <c r="R25" s="157">
        <f t="shared" si="3"/>
        <v>12</v>
      </c>
      <c r="S25" s="212">
        <v>80</v>
      </c>
      <c r="T25" s="15">
        <f t="shared" si="4"/>
        <v>960</v>
      </c>
    </row>
    <row r="26" spans="2:20" x14ac:dyDescent="0.2">
      <c r="B26" s="7"/>
      <c r="C26" s="7"/>
      <c r="D26" s="179" t="s">
        <v>733</v>
      </c>
      <c r="E26" s="210" t="s">
        <v>493</v>
      </c>
      <c r="F26" s="7"/>
      <c r="G26" s="7"/>
      <c r="H26" s="7"/>
      <c r="I26" s="211">
        <v>4</v>
      </c>
      <c r="J26" s="185"/>
      <c r="K26" s="7"/>
      <c r="L26" s="7"/>
      <c r="M26" s="7"/>
      <c r="N26" s="7"/>
      <c r="O26" s="7"/>
      <c r="P26" s="7"/>
      <c r="Q26" s="7"/>
      <c r="R26" s="157">
        <f t="shared" si="3"/>
        <v>4</v>
      </c>
      <c r="S26" s="212">
        <v>230</v>
      </c>
      <c r="T26" s="15">
        <f t="shared" si="4"/>
        <v>920</v>
      </c>
    </row>
    <row r="27" spans="2:20" x14ac:dyDescent="0.2">
      <c r="B27" s="7"/>
      <c r="C27" s="7"/>
      <c r="D27" s="179" t="s">
        <v>325</v>
      </c>
      <c r="E27" s="210" t="s">
        <v>493</v>
      </c>
      <c r="F27" s="7"/>
      <c r="G27" s="7"/>
      <c r="H27" s="7"/>
      <c r="I27" s="211">
        <v>1</v>
      </c>
      <c r="J27" s="185"/>
      <c r="K27" s="7"/>
      <c r="L27" s="7"/>
      <c r="M27" s="7"/>
      <c r="N27" s="7"/>
      <c r="O27" s="7"/>
      <c r="P27" s="7"/>
      <c r="Q27" s="7"/>
      <c r="R27" s="157">
        <f t="shared" si="3"/>
        <v>1</v>
      </c>
      <c r="S27" s="212">
        <v>1797.07</v>
      </c>
      <c r="T27" s="15">
        <f t="shared" si="4"/>
        <v>1797.07</v>
      </c>
    </row>
    <row r="28" spans="2:20" x14ac:dyDescent="0.2">
      <c r="B28" s="7"/>
      <c r="C28" s="7"/>
      <c r="D28" s="179" t="s">
        <v>553</v>
      </c>
      <c r="E28" s="210" t="s">
        <v>493</v>
      </c>
      <c r="F28" s="7"/>
      <c r="G28" s="7"/>
      <c r="H28" s="7"/>
      <c r="I28" s="211">
        <v>1</v>
      </c>
      <c r="J28" s="185"/>
      <c r="K28" s="7"/>
      <c r="L28" s="7"/>
      <c r="M28" s="7"/>
      <c r="N28" s="7"/>
      <c r="O28" s="7"/>
      <c r="P28" s="7"/>
      <c r="Q28" s="7"/>
      <c r="R28" s="157">
        <f t="shared" si="3"/>
        <v>1</v>
      </c>
      <c r="S28" s="212">
        <v>1200</v>
      </c>
      <c r="T28" s="15">
        <f t="shared" si="4"/>
        <v>1200</v>
      </c>
    </row>
    <row r="29" spans="2:20" x14ac:dyDescent="0.2">
      <c r="B29" s="7"/>
      <c r="C29" s="7"/>
      <c r="D29" s="179" t="s">
        <v>734</v>
      </c>
      <c r="E29" s="210" t="s">
        <v>493</v>
      </c>
      <c r="F29" s="7"/>
      <c r="G29" s="7"/>
      <c r="H29" s="7"/>
      <c r="I29" s="211">
        <v>2</v>
      </c>
      <c r="J29" s="185"/>
      <c r="K29" s="7"/>
      <c r="L29" s="7"/>
      <c r="M29" s="7"/>
      <c r="N29" s="7"/>
      <c r="O29" s="7"/>
      <c r="P29" s="7"/>
      <c r="Q29" s="7"/>
      <c r="R29" s="157">
        <f t="shared" si="3"/>
        <v>2</v>
      </c>
      <c r="S29" s="212">
        <v>950</v>
      </c>
      <c r="T29" s="15">
        <f t="shared" si="4"/>
        <v>1900</v>
      </c>
    </row>
    <row r="30" spans="2:20" x14ac:dyDescent="0.2">
      <c r="B30" s="8"/>
      <c r="C30" s="8"/>
      <c r="D30" s="179" t="s">
        <v>542</v>
      </c>
      <c r="E30" s="210" t="s">
        <v>493</v>
      </c>
      <c r="F30" s="7"/>
      <c r="G30" s="8"/>
      <c r="H30" s="7"/>
      <c r="I30" s="211">
        <v>1</v>
      </c>
      <c r="J30" s="185"/>
      <c r="K30" s="8"/>
      <c r="L30" s="7"/>
      <c r="M30" s="8"/>
      <c r="N30" s="7"/>
      <c r="O30" s="8"/>
      <c r="P30" s="8"/>
      <c r="Q30" s="8"/>
      <c r="R30" s="157">
        <f t="shared" si="3"/>
        <v>1</v>
      </c>
      <c r="S30" s="212">
        <v>600</v>
      </c>
      <c r="T30" s="15">
        <f t="shared" si="4"/>
        <v>600</v>
      </c>
    </row>
    <row r="31" spans="2:20" ht="13.5" thickBot="1" x14ac:dyDescent="0.25">
      <c r="B31" s="7"/>
      <c r="C31" s="8"/>
      <c r="D31" s="179" t="s">
        <v>735</v>
      </c>
      <c r="E31" s="210" t="s">
        <v>493</v>
      </c>
      <c r="F31" s="7"/>
      <c r="G31" s="8"/>
      <c r="H31" s="7"/>
      <c r="I31" s="211">
        <v>2</v>
      </c>
      <c r="J31" s="185"/>
      <c r="K31" s="8"/>
      <c r="L31" s="7"/>
      <c r="M31" s="8"/>
      <c r="N31" s="7"/>
      <c r="O31" s="8"/>
      <c r="P31" s="8"/>
      <c r="Q31" s="8"/>
      <c r="R31" s="157">
        <f t="shared" si="3"/>
        <v>2</v>
      </c>
      <c r="S31" s="212">
        <v>850</v>
      </c>
      <c r="T31" s="15">
        <f t="shared" si="4"/>
        <v>1700</v>
      </c>
    </row>
    <row r="32" spans="2:20" x14ac:dyDescent="0.2">
      <c r="B32" s="8"/>
      <c r="C32" s="135" t="s">
        <v>528</v>
      </c>
      <c r="D32" s="282" t="s">
        <v>831</v>
      </c>
      <c r="E32" s="244" t="s">
        <v>164</v>
      </c>
      <c r="F32" s="135"/>
      <c r="G32" s="135">
        <v>1</v>
      </c>
      <c r="H32" s="135"/>
      <c r="I32" s="134"/>
      <c r="J32" s="135"/>
      <c r="K32" s="134"/>
      <c r="L32" s="135"/>
      <c r="M32" s="135">
        <v>1</v>
      </c>
      <c r="N32" s="135"/>
      <c r="O32" s="134"/>
      <c r="P32" s="135"/>
      <c r="Q32" s="134"/>
      <c r="R32" s="219">
        <f>SUM(F32:Q32)</f>
        <v>2</v>
      </c>
      <c r="S32" s="266">
        <v>3559.1</v>
      </c>
      <c r="T32" s="238">
        <f>S32*R32</f>
        <v>7118.2</v>
      </c>
    </row>
    <row r="33" spans="2:20" x14ac:dyDescent="0.2">
      <c r="B33" s="7"/>
      <c r="C33" s="7" t="s">
        <v>528</v>
      </c>
      <c r="D33" s="283" t="s">
        <v>832</v>
      </c>
      <c r="E33" s="249" t="s">
        <v>164</v>
      </c>
      <c r="F33" s="7"/>
      <c r="G33" s="7">
        <v>1</v>
      </c>
      <c r="H33" s="7"/>
      <c r="I33" s="8"/>
      <c r="J33" s="7"/>
      <c r="K33" s="8"/>
      <c r="L33" s="7"/>
      <c r="M33" s="7">
        <v>1</v>
      </c>
      <c r="N33" s="7"/>
      <c r="O33" s="8"/>
      <c r="P33" s="7"/>
      <c r="Q33" s="8"/>
      <c r="R33" s="7">
        <f t="shared" ref="R33:R41" si="5">SUM(F33:Q33)</f>
        <v>2</v>
      </c>
      <c r="S33" s="269">
        <v>3103.45</v>
      </c>
      <c r="T33" s="15">
        <f t="shared" ref="T33:T41" si="6">S33*R33</f>
        <v>6206.9</v>
      </c>
    </row>
    <row r="34" spans="2:20" x14ac:dyDescent="0.2">
      <c r="B34" s="8"/>
      <c r="C34" s="7" t="s">
        <v>528</v>
      </c>
      <c r="D34" s="283" t="s">
        <v>833</v>
      </c>
      <c r="E34" s="249" t="s">
        <v>164</v>
      </c>
      <c r="F34" s="7"/>
      <c r="G34" s="7">
        <v>3</v>
      </c>
      <c r="H34" s="7"/>
      <c r="I34" s="8"/>
      <c r="J34" s="7">
        <v>4</v>
      </c>
      <c r="K34" s="8"/>
      <c r="L34" s="7"/>
      <c r="M34" s="7">
        <v>3</v>
      </c>
      <c r="N34" s="7"/>
      <c r="O34" s="8"/>
      <c r="P34" s="7">
        <v>4</v>
      </c>
      <c r="Q34" s="8"/>
      <c r="R34" s="7">
        <f t="shared" si="5"/>
        <v>14</v>
      </c>
      <c r="S34" s="269">
        <v>67.239999999999995</v>
      </c>
      <c r="T34" s="15">
        <f t="shared" si="6"/>
        <v>941.3599999999999</v>
      </c>
    </row>
    <row r="35" spans="2:20" x14ac:dyDescent="0.2">
      <c r="B35" s="7"/>
      <c r="C35" s="7" t="s">
        <v>528</v>
      </c>
      <c r="D35" s="284" t="s">
        <v>834</v>
      </c>
      <c r="E35" s="249" t="s">
        <v>164</v>
      </c>
      <c r="F35" s="7"/>
      <c r="G35" s="7">
        <v>1</v>
      </c>
      <c r="H35" s="7"/>
      <c r="I35" s="8"/>
      <c r="J35" s="7">
        <v>1</v>
      </c>
      <c r="K35" s="8"/>
      <c r="L35" s="7"/>
      <c r="M35" s="7">
        <v>1</v>
      </c>
      <c r="N35" s="7"/>
      <c r="O35" s="8"/>
      <c r="P35" s="7"/>
      <c r="Q35" s="8"/>
      <c r="R35" s="7">
        <f t="shared" si="5"/>
        <v>3</v>
      </c>
      <c r="S35" s="269">
        <v>646.54999999999995</v>
      </c>
      <c r="T35" s="15">
        <f t="shared" si="6"/>
        <v>1939.6499999999999</v>
      </c>
    </row>
    <row r="36" spans="2:20" x14ac:dyDescent="0.2">
      <c r="B36" s="8"/>
      <c r="C36" s="7" t="s">
        <v>528</v>
      </c>
      <c r="D36" s="283" t="s">
        <v>835</v>
      </c>
      <c r="E36" s="249" t="s">
        <v>164</v>
      </c>
      <c r="F36" s="7"/>
      <c r="G36" s="7">
        <v>3</v>
      </c>
      <c r="H36" s="7"/>
      <c r="I36" s="8"/>
      <c r="J36" s="7">
        <v>3</v>
      </c>
      <c r="K36" s="8"/>
      <c r="L36" s="7"/>
      <c r="M36" s="7">
        <v>3</v>
      </c>
      <c r="N36" s="7"/>
      <c r="O36" s="8"/>
      <c r="P36" s="7">
        <v>3</v>
      </c>
      <c r="Q36" s="8"/>
      <c r="R36" s="7">
        <f t="shared" si="5"/>
        <v>12</v>
      </c>
      <c r="S36" s="269">
        <v>568.97</v>
      </c>
      <c r="T36" s="15">
        <f t="shared" si="6"/>
        <v>6827.64</v>
      </c>
    </row>
    <row r="37" spans="2:20" x14ac:dyDescent="0.2">
      <c r="B37" s="7"/>
      <c r="C37" s="7" t="s">
        <v>528</v>
      </c>
      <c r="D37" s="283" t="s">
        <v>836</v>
      </c>
      <c r="E37" s="249" t="s">
        <v>164</v>
      </c>
      <c r="F37" s="7"/>
      <c r="G37" s="7">
        <v>1</v>
      </c>
      <c r="H37" s="7"/>
      <c r="I37" s="8"/>
      <c r="J37" s="7">
        <v>1</v>
      </c>
      <c r="K37" s="8"/>
      <c r="L37" s="7"/>
      <c r="M37" s="7">
        <v>1</v>
      </c>
      <c r="N37" s="7"/>
      <c r="O37" s="8"/>
      <c r="P37" s="7">
        <v>1</v>
      </c>
      <c r="Q37" s="8"/>
      <c r="R37" s="7">
        <f t="shared" si="5"/>
        <v>4</v>
      </c>
      <c r="S37" s="269">
        <v>506.9</v>
      </c>
      <c r="T37" s="15">
        <f t="shared" si="6"/>
        <v>2027.6</v>
      </c>
    </row>
    <row r="38" spans="2:20" x14ac:dyDescent="0.2">
      <c r="B38" s="8"/>
      <c r="C38" s="7" t="s">
        <v>528</v>
      </c>
      <c r="D38" s="283" t="s">
        <v>837</v>
      </c>
      <c r="E38" s="249" t="s">
        <v>164</v>
      </c>
      <c r="F38" s="7"/>
      <c r="G38" s="7">
        <v>1</v>
      </c>
      <c r="H38" s="7"/>
      <c r="I38" s="8"/>
      <c r="J38" s="7"/>
      <c r="K38" s="8"/>
      <c r="L38" s="7"/>
      <c r="M38" s="7">
        <v>1</v>
      </c>
      <c r="N38" s="7"/>
      <c r="O38" s="8"/>
      <c r="P38" s="7"/>
      <c r="Q38" s="8"/>
      <c r="R38" s="7">
        <f t="shared" si="5"/>
        <v>2</v>
      </c>
      <c r="S38" s="269">
        <v>708.66</v>
      </c>
      <c r="T38" s="15">
        <f t="shared" si="6"/>
        <v>1417.32</v>
      </c>
    </row>
    <row r="39" spans="2:20" x14ac:dyDescent="0.2">
      <c r="B39" s="7"/>
      <c r="C39" s="7" t="s">
        <v>528</v>
      </c>
      <c r="D39" s="283" t="s">
        <v>838</v>
      </c>
      <c r="E39" s="249" t="s">
        <v>164</v>
      </c>
      <c r="F39" s="7"/>
      <c r="G39" s="7">
        <v>1</v>
      </c>
      <c r="H39" s="7"/>
      <c r="I39" s="8"/>
      <c r="J39" s="7">
        <v>1</v>
      </c>
      <c r="K39" s="8"/>
      <c r="L39" s="7"/>
      <c r="M39" s="7">
        <v>1</v>
      </c>
      <c r="N39" s="7"/>
      <c r="O39" s="8"/>
      <c r="P39" s="7">
        <v>1</v>
      </c>
      <c r="Q39" s="8"/>
      <c r="R39" s="7">
        <f t="shared" si="5"/>
        <v>4</v>
      </c>
      <c r="S39" s="269">
        <v>1360.723</v>
      </c>
      <c r="T39" s="15">
        <f t="shared" si="6"/>
        <v>5442.8919999999998</v>
      </c>
    </row>
    <row r="40" spans="2:20" x14ac:dyDescent="0.2">
      <c r="B40" s="8"/>
      <c r="C40" s="7" t="s">
        <v>528</v>
      </c>
      <c r="D40" s="283" t="s">
        <v>839</v>
      </c>
      <c r="E40" s="249" t="s">
        <v>164</v>
      </c>
      <c r="F40" s="7"/>
      <c r="G40" s="7">
        <v>1</v>
      </c>
      <c r="H40" s="7"/>
      <c r="I40" s="8"/>
      <c r="J40" s="7">
        <v>1</v>
      </c>
      <c r="K40" s="8"/>
      <c r="L40" s="7"/>
      <c r="M40" s="7">
        <v>1</v>
      </c>
      <c r="N40" s="7"/>
      <c r="O40" s="8"/>
      <c r="P40" s="7">
        <v>1</v>
      </c>
      <c r="Q40" s="8"/>
      <c r="R40" s="7">
        <f t="shared" si="5"/>
        <v>4</v>
      </c>
      <c r="S40" s="269">
        <v>354.3</v>
      </c>
      <c r="T40" s="15">
        <f t="shared" si="6"/>
        <v>1417.2</v>
      </c>
    </row>
    <row r="41" spans="2:20" x14ac:dyDescent="0.2">
      <c r="B41" s="7"/>
      <c r="C41" s="7" t="s">
        <v>528</v>
      </c>
      <c r="D41" s="283" t="s">
        <v>840</v>
      </c>
      <c r="E41" s="249" t="s">
        <v>164</v>
      </c>
      <c r="F41" s="7"/>
      <c r="G41" s="7">
        <v>1</v>
      </c>
      <c r="H41" s="7"/>
      <c r="I41" s="8"/>
      <c r="J41" s="7"/>
      <c r="K41" s="8"/>
      <c r="L41" s="7"/>
      <c r="M41" s="7">
        <v>1</v>
      </c>
      <c r="N41" s="7"/>
      <c r="O41" s="8"/>
      <c r="P41" s="7"/>
      <c r="Q41" s="8"/>
      <c r="R41" s="7">
        <f t="shared" si="5"/>
        <v>2</v>
      </c>
      <c r="S41" s="269">
        <v>572</v>
      </c>
      <c r="T41" s="15">
        <f t="shared" si="6"/>
        <v>1144</v>
      </c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43"/>
  <sheetViews>
    <sheetView topLeftCell="A23" zoomScale="115" zoomScaleNormal="115" workbookViewId="0">
      <selection activeCell="A26" sqref="A2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142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>
        <v>29602</v>
      </c>
      <c r="D11" s="32" t="s">
        <v>143</v>
      </c>
      <c r="E11" s="33" t="s">
        <v>144</v>
      </c>
      <c r="F11" s="66">
        <v>2</v>
      </c>
      <c r="G11" s="66">
        <v>2</v>
      </c>
      <c r="H11" s="66"/>
      <c r="I11" s="30">
        <v>3</v>
      </c>
      <c r="J11" s="53">
        <v>1</v>
      </c>
      <c r="K11" s="54"/>
      <c r="L11" s="69">
        <v>2</v>
      </c>
      <c r="M11" s="69">
        <v>1</v>
      </c>
      <c r="N11" s="69"/>
      <c r="O11" s="53">
        <v>2</v>
      </c>
      <c r="P11" s="54">
        <v>1</v>
      </c>
      <c r="Q11" s="54"/>
      <c r="R11" s="53">
        <f>SUM(F11:Q11)</f>
        <v>14</v>
      </c>
      <c r="S11" s="55"/>
      <c r="T11" s="56">
        <f>200+500</f>
        <v>700</v>
      </c>
    </row>
    <row r="12" spans="2:25" s="45" customFormat="1" x14ac:dyDescent="0.2">
      <c r="B12" s="30">
        <v>2</v>
      </c>
      <c r="C12" s="30">
        <v>29602</v>
      </c>
      <c r="D12" s="32" t="s">
        <v>216</v>
      </c>
      <c r="E12" s="33" t="s">
        <v>85</v>
      </c>
      <c r="F12" s="66"/>
      <c r="G12" s="66"/>
      <c r="H12" s="66"/>
      <c r="I12" s="30">
        <v>3</v>
      </c>
      <c r="J12" s="30">
        <v>1</v>
      </c>
      <c r="K12" s="57"/>
      <c r="L12" s="66">
        <v>1</v>
      </c>
      <c r="M12" s="66">
        <v>1</v>
      </c>
      <c r="N12" s="66">
        <v>1</v>
      </c>
      <c r="O12" s="30"/>
      <c r="P12" s="57"/>
      <c r="Q12" s="57"/>
      <c r="R12" s="30">
        <f>+SUM(F12:Q12)</f>
        <v>7</v>
      </c>
      <c r="S12" s="58"/>
      <c r="T12" s="59">
        <f>1264.4+201.16+421.7+1190+249.4+1243.52+359.6</f>
        <v>4929.7800000000007</v>
      </c>
    </row>
    <row r="13" spans="2:25" s="45" customFormat="1" x14ac:dyDescent="0.2">
      <c r="B13" s="30">
        <v>3</v>
      </c>
      <c r="C13" s="30">
        <v>29602</v>
      </c>
      <c r="D13" s="32" t="s">
        <v>254</v>
      </c>
      <c r="E13" s="33" t="s">
        <v>85</v>
      </c>
      <c r="F13" s="66"/>
      <c r="G13" s="66"/>
      <c r="H13" s="66"/>
      <c r="I13" s="30"/>
      <c r="J13" s="30"/>
      <c r="K13" s="57"/>
      <c r="L13" s="66">
        <v>1</v>
      </c>
      <c r="M13" s="66"/>
      <c r="N13" s="66"/>
      <c r="O13" s="30"/>
      <c r="P13" s="57"/>
      <c r="Q13" s="57"/>
      <c r="R13" s="30">
        <f>+SUM(F13:Q13)</f>
        <v>1</v>
      </c>
      <c r="S13" s="58">
        <v>4562.28</v>
      </c>
      <c r="T13" s="59">
        <f>+S13*R13</f>
        <v>4562.28</v>
      </c>
    </row>
    <row r="14" spans="2:25" s="45" customFormat="1" x14ac:dyDescent="0.2">
      <c r="B14" s="30">
        <v>4</v>
      </c>
      <c r="C14" s="30">
        <v>29602</v>
      </c>
      <c r="D14" s="32" t="s">
        <v>255</v>
      </c>
      <c r="E14" s="33" t="s">
        <v>85</v>
      </c>
      <c r="F14" s="66">
        <v>6</v>
      </c>
      <c r="G14" s="66"/>
      <c r="H14" s="66"/>
      <c r="I14" s="30"/>
      <c r="J14" s="30"/>
      <c r="K14" s="57">
        <v>1</v>
      </c>
      <c r="L14" s="66">
        <v>7</v>
      </c>
      <c r="M14" s="66"/>
      <c r="N14" s="66"/>
      <c r="O14" s="30"/>
      <c r="P14" s="57"/>
      <c r="Q14" s="57"/>
      <c r="R14" s="30">
        <f t="shared" ref="R14:R24" si="0">+SUM(F14:Q14)</f>
        <v>14</v>
      </c>
      <c r="S14" s="58"/>
      <c r="T14" s="59">
        <f>14762.16+6395.08</f>
        <v>21157.239999999998</v>
      </c>
    </row>
    <row r="15" spans="2:25" s="45" customFormat="1" x14ac:dyDescent="0.2">
      <c r="B15" s="30">
        <v>5</v>
      </c>
      <c r="C15" s="30">
        <v>29602</v>
      </c>
      <c r="D15" s="32" t="s">
        <v>256</v>
      </c>
      <c r="E15" s="33" t="s">
        <v>85</v>
      </c>
      <c r="F15" s="66">
        <v>4</v>
      </c>
      <c r="G15" s="66">
        <v>2</v>
      </c>
      <c r="H15" s="66"/>
      <c r="I15" s="30">
        <v>4</v>
      </c>
      <c r="J15" s="30">
        <v>2</v>
      </c>
      <c r="K15" s="57">
        <v>4</v>
      </c>
      <c r="L15" s="66">
        <v>1</v>
      </c>
      <c r="M15" s="66">
        <v>6</v>
      </c>
      <c r="N15" s="66"/>
      <c r="O15" s="30"/>
      <c r="P15" s="57">
        <v>2</v>
      </c>
      <c r="Q15" s="57"/>
      <c r="R15" s="30">
        <f t="shared" si="0"/>
        <v>25</v>
      </c>
      <c r="S15" s="58">
        <v>7772</v>
      </c>
      <c r="T15" s="59">
        <f t="shared" ref="T15:T24" si="1">+S15*R15</f>
        <v>194300</v>
      </c>
    </row>
    <row r="16" spans="2:25" s="45" customFormat="1" x14ac:dyDescent="0.2">
      <c r="B16" s="30">
        <v>6</v>
      </c>
      <c r="C16" s="30">
        <v>29602</v>
      </c>
      <c r="D16" s="32" t="s">
        <v>257</v>
      </c>
      <c r="E16" s="33" t="s">
        <v>85</v>
      </c>
      <c r="F16" s="66">
        <v>2</v>
      </c>
      <c r="G16" s="66"/>
      <c r="H16" s="66"/>
      <c r="I16" s="30"/>
      <c r="J16" s="30"/>
      <c r="K16" s="57"/>
      <c r="L16" s="66">
        <v>3</v>
      </c>
      <c r="M16" s="66"/>
      <c r="N16" s="66"/>
      <c r="O16" s="30"/>
      <c r="P16" s="57"/>
      <c r="Q16" s="57"/>
      <c r="R16" s="30">
        <f t="shared" si="0"/>
        <v>5</v>
      </c>
      <c r="S16" s="58">
        <v>800.4</v>
      </c>
      <c r="T16" s="59">
        <f t="shared" si="1"/>
        <v>4002</v>
      </c>
    </row>
    <row r="17" spans="2:20" s="45" customFormat="1" x14ac:dyDescent="0.2">
      <c r="B17" s="30">
        <v>7</v>
      </c>
      <c r="C17" s="30">
        <v>29602</v>
      </c>
      <c r="D17" s="32" t="s">
        <v>259</v>
      </c>
      <c r="E17" s="33" t="s">
        <v>85</v>
      </c>
      <c r="F17" s="66"/>
      <c r="G17" s="66"/>
      <c r="H17" s="66"/>
      <c r="I17" s="30"/>
      <c r="J17" s="30"/>
      <c r="K17" s="57"/>
      <c r="L17" s="66">
        <v>2</v>
      </c>
      <c r="M17" s="66"/>
      <c r="N17" s="66"/>
      <c r="O17" s="30"/>
      <c r="P17" s="57"/>
      <c r="Q17" s="57"/>
      <c r="R17" s="30">
        <f t="shared" si="0"/>
        <v>2</v>
      </c>
      <c r="S17" s="58">
        <v>25</v>
      </c>
      <c r="T17" s="59">
        <f t="shared" si="1"/>
        <v>50</v>
      </c>
    </row>
    <row r="18" spans="2:20" s="45" customFormat="1" x14ac:dyDescent="0.2">
      <c r="B18" s="30">
        <v>8</v>
      </c>
      <c r="C18" s="30">
        <v>29602</v>
      </c>
      <c r="D18" s="32" t="s">
        <v>263</v>
      </c>
      <c r="E18" s="33" t="s">
        <v>85</v>
      </c>
      <c r="F18" s="66"/>
      <c r="G18" s="66">
        <v>2</v>
      </c>
      <c r="H18" s="66"/>
      <c r="I18" s="30">
        <v>1</v>
      </c>
      <c r="J18" s="30"/>
      <c r="K18" s="57"/>
      <c r="L18" s="66"/>
      <c r="M18" s="66"/>
      <c r="N18" s="66"/>
      <c r="O18" s="30"/>
      <c r="P18" s="57"/>
      <c r="Q18" s="57"/>
      <c r="R18" s="30">
        <f t="shared" si="0"/>
        <v>3</v>
      </c>
      <c r="S18" s="58">
        <v>13490.8</v>
      </c>
      <c r="T18" s="59">
        <f>+R18*S18</f>
        <v>40472.399999999994</v>
      </c>
    </row>
    <row r="19" spans="2:20" s="45" customFormat="1" x14ac:dyDescent="0.2">
      <c r="B19" s="30">
        <v>9</v>
      </c>
      <c r="C19" s="30">
        <v>29602</v>
      </c>
      <c r="D19" s="32" t="s">
        <v>265</v>
      </c>
      <c r="E19" s="33" t="s">
        <v>85</v>
      </c>
      <c r="F19" s="66"/>
      <c r="G19" s="66"/>
      <c r="H19" s="66"/>
      <c r="I19" s="30"/>
      <c r="J19" s="30">
        <v>1</v>
      </c>
      <c r="K19" s="57"/>
      <c r="L19" s="66"/>
      <c r="M19" s="66"/>
      <c r="N19" s="66"/>
      <c r="O19" s="30"/>
      <c r="P19" s="57"/>
      <c r="Q19" s="57"/>
      <c r="R19" s="30">
        <f t="shared" si="0"/>
        <v>1</v>
      </c>
      <c r="S19" s="58">
        <v>4988</v>
      </c>
      <c r="T19" s="59">
        <f t="shared" si="1"/>
        <v>4988</v>
      </c>
    </row>
    <row r="20" spans="2:20" s="45" customFormat="1" x14ac:dyDescent="0.2">
      <c r="B20" s="30"/>
      <c r="C20" s="30">
        <v>29602</v>
      </c>
      <c r="D20" s="32" t="s">
        <v>329</v>
      </c>
      <c r="E20" s="33" t="s">
        <v>85</v>
      </c>
      <c r="F20" s="66">
        <v>4</v>
      </c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4</v>
      </c>
      <c r="S20" s="58">
        <v>1716</v>
      </c>
      <c r="T20" s="59">
        <f t="shared" si="1"/>
        <v>6864</v>
      </c>
    </row>
    <row r="21" spans="2:20" s="45" customFormat="1" x14ac:dyDescent="0.2">
      <c r="B21" s="30"/>
      <c r="C21" s="30">
        <v>29602</v>
      </c>
      <c r="D21" s="31" t="s">
        <v>330</v>
      </c>
      <c r="E21" s="33" t="s">
        <v>85</v>
      </c>
      <c r="F21" s="66">
        <v>4</v>
      </c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4</v>
      </c>
      <c r="S21" s="58">
        <v>1029.5999999999999</v>
      </c>
      <c r="T21" s="59">
        <f t="shared" si="1"/>
        <v>4118.3999999999996</v>
      </c>
    </row>
    <row r="22" spans="2:20" s="45" customFormat="1" x14ac:dyDescent="0.2">
      <c r="B22" s="30"/>
      <c r="C22" s="30">
        <v>29602</v>
      </c>
      <c r="D22" s="31" t="s">
        <v>331</v>
      </c>
      <c r="E22" s="33" t="s">
        <v>85</v>
      </c>
      <c r="F22" s="66">
        <v>3</v>
      </c>
      <c r="G22" s="66">
        <v>1</v>
      </c>
      <c r="H22" s="66"/>
      <c r="I22" s="30"/>
      <c r="J22" s="30">
        <v>4</v>
      </c>
      <c r="K22" s="57">
        <v>1</v>
      </c>
      <c r="L22" s="66"/>
      <c r="M22" s="66">
        <v>1</v>
      </c>
      <c r="N22" s="66"/>
      <c r="O22" s="30"/>
      <c r="P22" s="57">
        <v>1</v>
      </c>
      <c r="Q22" s="57"/>
      <c r="R22" s="30">
        <f t="shared" si="0"/>
        <v>11</v>
      </c>
      <c r="S22" s="58">
        <v>88.4</v>
      </c>
      <c r="T22" s="59">
        <f t="shared" si="1"/>
        <v>972.40000000000009</v>
      </c>
    </row>
    <row r="23" spans="2:20" s="45" customFormat="1" x14ac:dyDescent="0.2">
      <c r="B23" s="30"/>
      <c r="C23" s="30">
        <v>29602</v>
      </c>
      <c r="D23" s="31" t="s">
        <v>332</v>
      </c>
      <c r="E23" s="33" t="s">
        <v>85</v>
      </c>
      <c r="F23" s="66"/>
      <c r="G23" s="66"/>
      <c r="H23" s="66"/>
      <c r="I23" s="30">
        <v>2</v>
      </c>
      <c r="J23" s="30"/>
      <c r="K23" s="57"/>
      <c r="L23" s="66"/>
      <c r="M23" s="66"/>
      <c r="N23" s="66"/>
      <c r="O23" s="30"/>
      <c r="P23" s="57"/>
      <c r="Q23" s="57"/>
      <c r="R23" s="30">
        <f t="shared" si="0"/>
        <v>2</v>
      </c>
      <c r="S23" s="58">
        <v>936</v>
      </c>
      <c r="T23" s="59">
        <f t="shared" si="1"/>
        <v>1872</v>
      </c>
    </row>
    <row r="24" spans="2:20" s="45" customFormat="1" ht="13.5" thickBot="1" x14ac:dyDescent="0.25">
      <c r="B24" s="30"/>
      <c r="C24" s="30"/>
      <c r="D24" s="32" t="s">
        <v>480</v>
      </c>
      <c r="E24" s="33">
        <v>1</v>
      </c>
      <c r="F24" s="66">
        <v>1</v>
      </c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1</v>
      </c>
      <c r="S24" s="58">
        <v>20000</v>
      </c>
      <c r="T24" s="59">
        <f t="shared" si="1"/>
        <v>20000</v>
      </c>
    </row>
    <row r="25" spans="2:20" s="45" customFormat="1" ht="13.5" thickBot="1" x14ac:dyDescent="0.25">
      <c r="B25" s="30"/>
      <c r="C25" s="30"/>
      <c r="D25" s="133" t="s">
        <v>547</v>
      </c>
      <c r="E25" s="135" t="s">
        <v>164</v>
      </c>
      <c r="F25" s="135">
        <v>2</v>
      </c>
      <c r="G25" s="134">
        <v>1</v>
      </c>
      <c r="H25" s="135"/>
      <c r="I25" s="134"/>
      <c r="J25" s="135">
        <v>3</v>
      </c>
      <c r="K25" s="134"/>
      <c r="L25" s="135"/>
      <c r="M25" s="134">
        <v>1</v>
      </c>
      <c r="N25" s="135"/>
      <c r="O25" s="134"/>
      <c r="P25" s="134">
        <v>3</v>
      </c>
      <c r="Q25" s="134"/>
      <c r="R25" s="135">
        <v>6</v>
      </c>
      <c r="S25" s="153">
        <v>800</v>
      </c>
      <c r="T25" s="138">
        <f>S25*R25</f>
        <v>4800</v>
      </c>
    </row>
    <row r="26" spans="2:20" s="45" customFormat="1" ht="13.5" thickBot="1" x14ac:dyDescent="0.25">
      <c r="B26" s="30"/>
      <c r="C26" s="30"/>
      <c r="D26" s="139" t="s">
        <v>548</v>
      </c>
      <c r="E26" s="7" t="s">
        <v>164</v>
      </c>
      <c r="F26" s="7">
        <v>4</v>
      </c>
      <c r="G26" s="8">
        <v>2</v>
      </c>
      <c r="H26" s="7"/>
      <c r="I26" s="8"/>
      <c r="J26" s="7">
        <v>6</v>
      </c>
      <c r="K26" s="8">
        <v>12</v>
      </c>
      <c r="L26" s="7"/>
      <c r="M26" s="8">
        <v>1</v>
      </c>
      <c r="N26" s="7">
        <v>4</v>
      </c>
      <c r="O26" s="8"/>
      <c r="P26" s="8">
        <v>1</v>
      </c>
      <c r="Q26" s="8">
        <v>12</v>
      </c>
      <c r="R26" s="7">
        <v>24</v>
      </c>
      <c r="S26" s="9">
        <v>400</v>
      </c>
      <c r="T26" s="138">
        <f t="shared" ref="T26:T34" si="2">S26*R26</f>
        <v>9600</v>
      </c>
    </row>
    <row r="27" spans="2:20" s="45" customFormat="1" ht="13.5" thickBot="1" x14ac:dyDescent="0.25">
      <c r="B27" s="30"/>
      <c r="C27" s="30"/>
      <c r="D27" s="139" t="s">
        <v>549</v>
      </c>
      <c r="E27" s="7" t="s">
        <v>164</v>
      </c>
      <c r="F27" s="7">
        <v>4</v>
      </c>
      <c r="G27" s="8">
        <v>1</v>
      </c>
      <c r="H27" s="7"/>
      <c r="I27" s="8"/>
      <c r="J27" s="7">
        <v>1</v>
      </c>
      <c r="K27" s="8">
        <v>4</v>
      </c>
      <c r="L27" s="7"/>
      <c r="M27" s="8">
        <v>1</v>
      </c>
      <c r="N27" s="7"/>
      <c r="O27" s="8"/>
      <c r="P27" s="8">
        <v>1</v>
      </c>
      <c r="Q27" s="8">
        <v>4</v>
      </c>
      <c r="R27" s="7">
        <v>12</v>
      </c>
      <c r="S27" s="9">
        <v>300</v>
      </c>
      <c r="T27" s="138">
        <f t="shared" si="2"/>
        <v>3600</v>
      </c>
    </row>
    <row r="28" spans="2:20" s="45" customFormat="1" ht="13.5" thickBot="1" x14ac:dyDescent="0.25">
      <c r="B28" s="30"/>
      <c r="C28" s="30"/>
      <c r="D28" s="139" t="s">
        <v>256</v>
      </c>
      <c r="E28" s="7" t="s">
        <v>164</v>
      </c>
      <c r="F28" s="7">
        <v>2</v>
      </c>
      <c r="G28" s="8"/>
      <c r="H28" s="7"/>
      <c r="I28" s="8"/>
      <c r="J28" s="7">
        <v>2</v>
      </c>
      <c r="K28" s="8"/>
      <c r="L28" s="7"/>
      <c r="M28" s="8"/>
      <c r="N28" s="7">
        <v>2</v>
      </c>
      <c r="O28" s="8"/>
      <c r="P28" s="8">
        <v>2</v>
      </c>
      <c r="Q28" s="8">
        <v>2</v>
      </c>
      <c r="R28" s="7">
        <v>10</v>
      </c>
      <c r="S28" s="9">
        <v>2152.41</v>
      </c>
      <c r="T28" s="138">
        <f t="shared" si="2"/>
        <v>21524.1</v>
      </c>
    </row>
    <row r="29" spans="2:20" s="45" customFormat="1" ht="13.5" thickBot="1" x14ac:dyDescent="0.25">
      <c r="B29" s="30"/>
      <c r="C29" s="30"/>
      <c r="D29" s="139" t="s">
        <v>332</v>
      </c>
      <c r="E29" s="7" t="s">
        <v>164</v>
      </c>
      <c r="F29" s="7">
        <v>2</v>
      </c>
      <c r="G29" s="8"/>
      <c r="H29" s="7"/>
      <c r="I29" s="8"/>
      <c r="J29" s="7">
        <v>3</v>
      </c>
      <c r="K29" s="8"/>
      <c r="L29" s="7"/>
      <c r="M29" s="8">
        <v>4</v>
      </c>
      <c r="N29" s="7"/>
      <c r="O29" s="8"/>
      <c r="P29" s="8">
        <v>3</v>
      </c>
      <c r="Q29" s="8"/>
      <c r="R29" s="7">
        <v>6</v>
      </c>
      <c r="S29" s="9">
        <v>2000</v>
      </c>
      <c r="T29" s="138">
        <f t="shared" si="2"/>
        <v>12000</v>
      </c>
    </row>
    <row r="30" spans="2:20" s="45" customFormat="1" x14ac:dyDescent="0.2">
      <c r="B30" s="30"/>
      <c r="C30" s="30"/>
      <c r="D30" s="139" t="s">
        <v>550</v>
      </c>
      <c r="E30" s="7" t="s">
        <v>164</v>
      </c>
      <c r="F30" s="7">
        <v>2</v>
      </c>
      <c r="G30" s="8"/>
      <c r="H30" s="7"/>
      <c r="I30" s="8"/>
      <c r="J30" s="7">
        <v>2</v>
      </c>
      <c r="K30" s="8"/>
      <c r="L30" s="7"/>
      <c r="M30" s="8"/>
      <c r="N30" s="7"/>
      <c r="O30" s="8"/>
      <c r="P30" s="8"/>
      <c r="Q30" s="8"/>
      <c r="R30" s="7">
        <v>4</v>
      </c>
      <c r="S30" s="9">
        <v>50</v>
      </c>
      <c r="T30" s="138">
        <f t="shared" si="2"/>
        <v>200</v>
      </c>
    </row>
    <row r="31" spans="2:20" s="45" customFormat="1" x14ac:dyDescent="0.2">
      <c r="B31" s="30"/>
      <c r="C31" s="30"/>
      <c r="D31" s="32" t="s">
        <v>841</v>
      </c>
      <c r="E31" s="33" t="s">
        <v>164</v>
      </c>
      <c r="F31" s="66"/>
      <c r="G31" s="66">
        <v>1</v>
      </c>
      <c r="H31" s="66"/>
      <c r="I31" s="30"/>
      <c r="J31" s="30">
        <v>1</v>
      </c>
      <c r="K31" s="57"/>
      <c r="L31" s="66"/>
      <c r="M31" s="66">
        <v>1</v>
      </c>
      <c r="N31" s="66"/>
      <c r="O31" s="30"/>
      <c r="P31" s="57">
        <v>1</v>
      </c>
      <c r="Q31" s="57"/>
      <c r="R31" s="30">
        <v>4</v>
      </c>
      <c r="S31" s="58">
        <v>615.52</v>
      </c>
      <c r="T31" s="59">
        <f t="shared" si="2"/>
        <v>2462.08</v>
      </c>
    </row>
    <row r="32" spans="2:20" s="45" customFormat="1" x14ac:dyDescent="0.2">
      <c r="B32" s="30"/>
      <c r="C32" s="30"/>
      <c r="D32" s="32" t="s">
        <v>842</v>
      </c>
      <c r="E32" s="33" t="s">
        <v>164</v>
      </c>
      <c r="F32" s="66"/>
      <c r="G32" s="66">
        <v>1</v>
      </c>
      <c r="H32" s="66"/>
      <c r="I32" s="30"/>
      <c r="J32" s="30">
        <v>1</v>
      </c>
      <c r="K32" s="57"/>
      <c r="L32" s="66"/>
      <c r="M32" s="66">
        <v>1</v>
      </c>
      <c r="N32" s="66"/>
      <c r="O32" s="30"/>
      <c r="P32" s="57">
        <v>1</v>
      </c>
      <c r="Q32" s="57"/>
      <c r="R32" s="30">
        <v>4</v>
      </c>
      <c r="S32" s="58">
        <v>481</v>
      </c>
      <c r="T32" s="59">
        <f t="shared" si="2"/>
        <v>1924</v>
      </c>
    </row>
    <row r="33" spans="2:20" s="45" customFormat="1" x14ac:dyDescent="0.2">
      <c r="B33" s="30"/>
      <c r="C33" s="30"/>
      <c r="D33" s="32" t="s">
        <v>843</v>
      </c>
      <c r="E33" s="33" t="s">
        <v>164</v>
      </c>
      <c r="F33" s="66"/>
      <c r="G33" s="66">
        <v>1</v>
      </c>
      <c r="H33" s="66"/>
      <c r="I33" s="30"/>
      <c r="J33" s="30">
        <v>1</v>
      </c>
      <c r="K33" s="57"/>
      <c r="L33" s="66"/>
      <c r="M33" s="66">
        <v>1</v>
      </c>
      <c r="N33" s="66"/>
      <c r="O33" s="30"/>
      <c r="P33" s="57">
        <v>1</v>
      </c>
      <c r="Q33" s="57"/>
      <c r="R33" s="30">
        <v>4</v>
      </c>
      <c r="S33" s="58">
        <v>615.52</v>
      </c>
      <c r="T33" s="59">
        <f t="shared" si="2"/>
        <v>2462.08</v>
      </c>
    </row>
    <row r="34" spans="2:20" s="45" customFormat="1" x14ac:dyDescent="0.2">
      <c r="B34" s="30"/>
      <c r="C34" s="30"/>
      <c r="D34" s="32" t="s">
        <v>844</v>
      </c>
      <c r="E34" s="33" t="s">
        <v>164</v>
      </c>
      <c r="F34" s="66"/>
      <c r="G34" s="66"/>
      <c r="H34" s="66"/>
      <c r="I34" s="30"/>
      <c r="J34" s="30">
        <v>1</v>
      </c>
      <c r="K34" s="57"/>
      <c r="L34" s="66"/>
      <c r="M34" s="66">
        <v>1</v>
      </c>
      <c r="N34" s="66"/>
      <c r="O34" s="30"/>
      <c r="P34" s="57">
        <v>1</v>
      </c>
      <c r="Q34" s="57"/>
      <c r="R34" s="30">
        <v>3</v>
      </c>
      <c r="S34" s="58">
        <v>2124.6799999999998</v>
      </c>
      <c r="T34" s="59">
        <f t="shared" si="2"/>
        <v>6374.0399999999991</v>
      </c>
    </row>
    <row r="35" spans="2:20" x14ac:dyDescent="0.2">
      <c r="B35" s="30"/>
      <c r="C35" s="7"/>
      <c r="D35" s="32"/>
      <c r="E35" s="33"/>
      <c r="F35" s="73"/>
      <c r="G35" s="66"/>
      <c r="H35" s="73"/>
      <c r="I35" s="7"/>
      <c r="J35" s="7"/>
      <c r="K35" s="8"/>
      <c r="L35" s="73"/>
      <c r="M35" s="74"/>
      <c r="N35" s="73"/>
      <c r="O35" s="8"/>
      <c r="P35" s="8"/>
      <c r="Q35" s="8"/>
      <c r="R35" s="7"/>
      <c r="S35" s="9"/>
      <c r="T35" s="34"/>
    </row>
    <row r="36" spans="2:20" ht="13.5" thickBot="1" x14ac:dyDescent="0.25">
      <c r="B36" s="16"/>
      <c r="C36" s="17"/>
      <c r="D36" s="17"/>
      <c r="E36" s="17"/>
      <c r="F36" s="75"/>
      <c r="G36" s="76"/>
      <c r="H36" s="75"/>
      <c r="I36" s="17"/>
      <c r="J36" s="17"/>
      <c r="K36" s="18"/>
      <c r="L36" s="75"/>
      <c r="M36" s="76"/>
      <c r="N36" s="75"/>
      <c r="O36" s="18"/>
      <c r="P36" s="18"/>
      <c r="Q36" s="18"/>
      <c r="R36" s="17"/>
      <c r="S36" s="19"/>
      <c r="T36" s="20"/>
    </row>
    <row r="37" spans="2:20" x14ac:dyDescent="0.2">
      <c r="B37" s="13"/>
      <c r="C37" s="13"/>
      <c r="D37" s="1"/>
      <c r="E37" s="13"/>
      <c r="F37" s="1"/>
      <c r="G37" s="1"/>
      <c r="H37" s="1"/>
      <c r="I37" s="13"/>
      <c r="J37" s="1"/>
      <c r="K37" s="1"/>
      <c r="L37" s="1"/>
      <c r="M37" s="1"/>
      <c r="N37" s="1"/>
      <c r="O37" s="1"/>
      <c r="P37" s="1"/>
      <c r="Q37" s="1"/>
      <c r="R37" s="1"/>
      <c r="S37" s="11" t="s">
        <v>18</v>
      </c>
      <c r="T37" s="26">
        <f>+SUM(T11:T35)*0.16</f>
        <v>59829.567999999999</v>
      </c>
    </row>
    <row r="38" spans="2:20" x14ac:dyDescent="0.2">
      <c r="B38" s="13"/>
      <c r="C38" s="13"/>
      <c r="D38" s="1"/>
      <c r="E38" s="13"/>
      <c r="F38" s="1"/>
      <c r="G38" s="1"/>
      <c r="H38" s="1"/>
      <c r="I38" s="13"/>
      <c r="J38" s="1"/>
      <c r="K38" s="1"/>
      <c r="L38" s="1"/>
      <c r="M38" s="1"/>
      <c r="N38" s="1"/>
      <c r="O38" s="1"/>
      <c r="P38" s="1"/>
      <c r="Q38" s="1"/>
      <c r="R38" s="1"/>
      <c r="S38" s="27" t="s">
        <v>17</v>
      </c>
      <c r="T38" s="28">
        <f>SUM(T11:T37)</f>
        <v>433764.36800000002</v>
      </c>
    </row>
    <row r="39" spans="2:20" x14ac:dyDescent="0.2">
      <c r="B39" s="13"/>
      <c r="C39" s="13"/>
      <c r="D39" s="1"/>
      <c r="E39" s="13"/>
      <c r="F39" s="1"/>
      <c r="G39" s="1"/>
      <c r="H39" s="1"/>
      <c r="I39" s="13"/>
      <c r="J39" s="1"/>
      <c r="K39" s="1"/>
      <c r="L39" s="1"/>
      <c r="M39" s="1"/>
      <c r="N39" s="1"/>
      <c r="O39" s="1"/>
      <c r="P39" s="1"/>
      <c r="Q39" s="1"/>
      <c r="R39" s="1"/>
      <c r="S39" s="11"/>
      <c r="T39" s="11"/>
    </row>
    <row r="40" spans="2:20" x14ac:dyDescent="0.2">
      <c r="B40" s="1"/>
      <c r="C40" s="1"/>
      <c r="D40" s="1"/>
      <c r="E40" s="1"/>
      <c r="F40" s="1"/>
      <c r="G40" s="1"/>
      <c r="H40" s="1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2"/>
    </row>
    <row r="41" spans="2:20" x14ac:dyDescent="0.2">
      <c r="B41" s="1"/>
      <c r="C41" s="1"/>
      <c r="D41" s="1"/>
      <c r="E41" s="1"/>
      <c r="F41" s="1"/>
      <c r="G41" s="1"/>
      <c r="H41" s="1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2:20" x14ac:dyDescent="0.2">
      <c r="B42" s="29"/>
      <c r="C42" s="29"/>
      <c r="D42" s="29"/>
      <c r="E42" s="29"/>
      <c r="F42" s="29"/>
      <c r="G42" s="29"/>
      <c r="H42" s="29"/>
      <c r="I42" s="42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2:20" x14ac:dyDescent="0.2">
      <c r="B43" s="29"/>
      <c r="C43" s="29"/>
      <c r="D43" s="29"/>
      <c r="E43" s="29"/>
      <c r="F43" s="29"/>
      <c r="G43" s="29"/>
      <c r="H43" s="29"/>
      <c r="I43" s="42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5"/>
  <sheetViews>
    <sheetView topLeftCell="L11" zoomScale="115" zoomScaleNormal="115" workbookViewId="0">
      <selection activeCell="V26" sqref="V2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217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13.5" thickBot="1" x14ac:dyDescent="0.25">
      <c r="B11" s="30">
        <v>1</v>
      </c>
      <c r="C11" s="30">
        <v>29603</v>
      </c>
      <c r="D11" s="32" t="s">
        <v>218</v>
      </c>
      <c r="E11" s="33" t="s">
        <v>85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116</v>
      </c>
      <c r="T11" s="56">
        <f>S11*R11</f>
        <v>116</v>
      </c>
    </row>
    <row r="12" spans="2:25" s="45" customFormat="1" ht="13.5" thickBot="1" x14ac:dyDescent="0.25">
      <c r="B12" s="30">
        <v>2</v>
      </c>
      <c r="C12" s="30">
        <v>29603</v>
      </c>
      <c r="D12" s="32" t="s">
        <v>333</v>
      </c>
      <c r="E12" s="33" t="s">
        <v>85</v>
      </c>
      <c r="F12" s="66">
        <v>4</v>
      </c>
      <c r="G12" s="66"/>
      <c r="H12" s="66"/>
      <c r="I12" s="30"/>
      <c r="J12" s="98">
        <v>4</v>
      </c>
      <c r="K12" s="99"/>
      <c r="L12" s="100"/>
      <c r="M12" s="100"/>
      <c r="N12" s="100"/>
      <c r="O12" s="98"/>
      <c r="P12" s="99"/>
      <c r="Q12" s="99"/>
      <c r="R12" s="53">
        <f t="shared" ref="R12:R16" si="0">SUM(F12:Q12)</f>
        <v>8</v>
      </c>
      <c r="S12" s="101">
        <v>98.8</v>
      </c>
      <c r="T12" s="56">
        <f t="shared" ref="T12:T16" si="1">S12*R12</f>
        <v>790.4</v>
      </c>
    </row>
    <row r="13" spans="2:25" s="45" customFormat="1" ht="13.5" thickBot="1" x14ac:dyDescent="0.25">
      <c r="B13" s="30">
        <v>3</v>
      </c>
      <c r="C13" s="30">
        <v>29603</v>
      </c>
      <c r="D13" s="32" t="s">
        <v>334</v>
      </c>
      <c r="E13" s="33" t="s">
        <v>85</v>
      </c>
      <c r="F13" s="66">
        <v>4</v>
      </c>
      <c r="G13" s="66"/>
      <c r="H13" s="66"/>
      <c r="I13" s="30"/>
      <c r="J13" s="98">
        <v>4</v>
      </c>
      <c r="K13" s="99"/>
      <c r="L13" s="100"/>
      <c r="M13" s="100"/>
      <c r="N13" s="100"/>
      <c r="O13" s="98"/>
      <c r="P13" s="99"/>
      <c r="Q13" s="99"/>
      <c r="R13" s="53">
        <f t="shared" si="0"/>
        <v>8</v>
      </c>
      <c r="S13" s="101">
        <v>83.2</v>
      </c>
      <c r="T13" s="56">
        <f t="shared" si="1"/>
        <v>665.6</v>
      </c>
    </row>
    <row r="14" spans="2:25" s="45" customFormat="1" ht="13.5" thickBot="1" x14ac:dyDescent="0.25">
      <c r="B14" s="30">
        <v>4</v>
      </c>
      <c r="C14" s="30">
        <v>29603</v>
      </c>
      <c r="D14" s="32" t="s">
        <v>335</v>
      </c>
      <c r="E14" s="33" t="s">
        <v>85</v>
      </c>
      <c r="F14" s="66">
        <v>4</v>
      </c>
      <c r="G14" s="66"/>
      <c r="H14" s="66"/>
      <c r="I14" s="30"/>
      <c r="J14" s="98">
        <v>4</v>
      </c>
      <c r="K14" s="99"/>
      <c r="L14" s="100"/>
      <c r="M14" s="100"/>
      <c r="N14" s="100"/>
      <c r="O14" s="98"/>
      <c r="P14" s="99"/>
      <c r="Q14" s="99"/>
      <c r="R14" s="53">
        <f t="shared" si="0"/>
        <v>8</v>
      </c>
      <c r="S14" s="101">
        <v>62.4</v>
      </c>
      <c r="T14" s="56">
        <f t="shared" si="1"/>
        <v>499.2</v>
      </c>
    </row>
    <row r="15" spans="2:25" s="45" customFormat="1" ht="13.5" thickBot="1" x14ac:dyDescent="0.25">
      <c r="B15" s="30">
        <v>5</v>
      </c>
      <c r="C15" s="30">
        <v>29603</v>
      </c>
      <c r="D15" s="32" t="s">
        <v>336</v>
      </c>
      <c r="E15" s="33" t="s">
        <v>85</v>
      </c>
      <c r="F15" s="66">
        <v>2</v>
      </c>
      <c r="G15" s="66"/>
      <c r="H15" s="66"/>
      <c r="I15" s="30"/>
      <c r="J15" s="98">
        <v>2</v>
      </c>
      <c r="K15" s="99"/>
      <c r="L15" s="100"/>
      <c r="M15" s="100"/>
      <c r="N15" s="100"/>
      <c r="O15" s="98"/>
      <c r="P15" s="99"/>
      <c r="Q15" s="99"/>
      <c r="R15" s="53">
        <f t="shared" si="0"/>
        <v>4</v>
      </c>
      <c r="S15" s="101">
        <v>101.4</v>
      </c>
      <c r="T15" s="56">
        <f t="shared" si="1"/>
        <v>405.6</v>
      </c>
    </row>
    <row r="16" spans="2:25" s="45" customFormat="1" ht="13.5" thickBot="1" x14ac:dyDescent="0.25">
      <c r="B16" s="30">
        <v>6</v>
      </c>
      <c r="C16" s="30">
        <v>29603</v>
      </c>
      <c r="D16" s="32" t="s">
        <v>337</v>
      </c>
      <c r="E16" s="33" t="s">
        <v>85</v>
      </c>
      <c r="F16" s="66">
        <v>1</v>
      </c>
      <c r="G16" s="66"/>
      <c r="H16" s="66"/>
      <c r="I16" s="30"/>
      <c r="J16" s="98"/>
      <c r="K16" s="99"/>
      <c r="L16" s="100"/>
      <c r="M16" s="100"/>
      <c r="N16" s="100"/>
      <c r="O16" s="98"/>
      <c r="P16" s="99"/>
      <c r="Q16" s="99"/>
      <c r="R16" s="53">
        <f t="shared" si="0"/>
        <v>1</v>
      </c>
      <c r="S16" s="101">
        <v>239.2</v>
      </c>
      <c r="T16" s="56">
        <f t="shared" si="1"/>
        <v>239.2</v>
      </c>
    </row>
    <row r="17" spans="2:20" s="45" customFormat="1" ht="13.5" thickBot="1" x14ac:dyDescent="0.25">
      <c r="B17" s="30"/>
      <c r="C17" s="30"/>
      <c r="D17" s="133" t="s">
        <v>551</v>
      </c>
      <c r="E17" s="135" t="s">
        <v>164</v>
      </c>
      <c r="F17" s="135">
        <v>3</v>
      </c>
      <c r="G17" s="134"/>
      <c r="H17" s="135">
        <v>3</v>
      </c>
      <c r="I17" s="134"/>
      <c r="J17" s="135">
        <v>3</v>
      </c>
      <c r="K17" s="134"/>
      <c r="L17" s="135">
        <v>5</v>
      </c>
      <c r="M17" s="134"/>
      <c r="N17" s="135">
        <v>3</v>
      </c>
      <c r="O17" s="134"/>
      <c r="P17" s="134">
        <v>3</v>
      </c>
      <c r="Q17" s="134"/>
      <c r="R17" s="135">
        <v>20</v>
      </c>
      <c r="S17" s="153">
        <v>100</v>
      </c>
      <c r="T17" s="138">
        <f>S17*R17</f>
        <v>2000</v>
      </c>
    </row>
    <row r="18" spans="2:20" s="45" customFormat="1" ht="13.5" thickBot="1" x14ac:dyDescent="0.25">
      <c r="B18" s="30"/>
      <c r="C18" s="30"/>
      <c r="D18" s="139" t="s">
        <v>552</v>
      </c>
      <c r="E18" s="7" t="s">
        <v>164</v>
      </c>
      <c r="F18" s="7">
        <v>3</v>
      </c>
      <c r="G18" s="8">
        <v>2</v>
      </c>
      <c r="H18" s="7">
        <v>3</v>
      </c>
      <c r="I18" s="8"/>
      <c r="J18" s="7">
        <v>5</v>
      </c>
      <c r="K18" s="8"/>
      <c r="L18" s="7">
        <v>5</v>
      </c>
      <c r="M18" s="8">
        <v>2</v>
      </c>
      <c r="N18" s="7">
        <v>3</v>
      </c>
      <c r="O18" s="8"/>
      <c r="P18" s="8">
        <v>5</v>
      </c>
      <c r="Q18" s="8"/>
      <c r="R18" s="7">
        <v>20</v>
      </c>
      <c r="S18" s="9">
        <v>253.1</v>
      </c>
      <c r="T18" s="138">
        <f t="shared" ref="T18:T29" si="2">S18*R18</f>
        <v>5062</v>
      </c>
    </row>
    <row r="19" spans="2:20" s="45" customFormat="1" ht="13.5" thickBot="1" x14ac:dyDescent="0.25">
      <c r="B19" s="30"/>
      <c r="C19" s="30"/>
      <c r="D19" s="139" t="s">
        <v>553</v>
      </c>
      <c r="E19" s="7" t="s">
        <v>164</v>
      </c>
      <c r="F19" s="7">
        <v>4</v>
      </c>
      <c r="G19" s="8"/>
      <c r="H19" s="7"/>
      <c r="I19" s="8"/>
      <c r="J19" s="7"/>
      <c r="K19" s="8"/>
      <c r="L19" s="7">
        <v>4</v>
      </c>
      <c r="M19" s="8"/>
      <c r="N19" s="7"/>
      <c r="O19" s="8"/>
      <c r="P19" s="8"/>
      <c r="Q19" s="8"/>
      <c r="R19" s="7">
        <v>8</v>
      </c>
      <c r="S19" s="9">
        <v>1600</v>
      </c>
      <c r="T19" s="138">
        <f t="shared" si="2"/>
        <v>12800</v>
      </c>
    </row>
    <row r="20" spans="2:20" s="45" customFormat="1" x14ac:dyDescent="0.2">
      <c r="B20" s="30"/>
      <c r="C20" s="30"/>
      <c r="D20" s="139" t="s">
        <v>554</v>
      </c>
      <c r="E20" s="7" t="s">
        <v>164</v>
      </c>
      <c r="F20" s="7">
        <v>3</v>
      </c>
      <c r="G20" s="8"/>
      <c r="H20" s="7"/>
      <c r="I20" s="8"/>
      <c r="J20" s="7"/>
      <c r="K20" s="8"/>
      <c r="L20" s="7">
        <v>3</v>
      </c>
      <c r="M20" s="8"/>
      <c r="N20" s="7"/>
      <c r="O20" s="8"/>
      <c r="P20" s="8"/>
      <c r="Q20" s="8"/>
      <c r="R20" s="7">
        <v>6</v>
      </c>
      <c r="S20" s="9">
        <v>1000</v>
      </c>
      <c r="T20" s="138">
        <f t="shared" si="2"/>
        <v>6000</v>
      </c>
    </row>
    <row r="21" spans="2:20" s="45" customFormat="1" x14ac:dyDescent="0.2">
      <c r="B21" s="30"/>
      <c r="C21" s="30"/>
      <c r="D21" s="32" t="s">
        <v>845</v>
      </c>
      <c r="E21" s="33" t="s">
        <v>164</v>
      </c>
      <c r="F21" s="66"/>
      <c r="G21" s="66">
        <v>1</v>
      </c>
      <c r="H21" s="66"/>
      <c r="I21" s="30"/>
      <c r="J21" s="98"/>
      <c r="K21" s="99"/>
      <c r="L21" s="100"/>
      <c r="M21" s="100">
        <v>1</v>
      </c>
      <c r="N21" s="100"/>
      <c r="O21" s="98"/>
      <c r="P21" s="99"/>
      <c r="Q21" s="99"/>
      <c r="R21" s="98">
        <v>2</v>
      </c>
      <c r="S21" s="101">
        <v>354</v>
      </c>
      <c r="T21" s="102">
        <f t="shared" si="2"/>
        <v>708</v>
      </c>
    </row>
    <row r="22" spans="2:20" s="45" customFormat="1" x14ac:dyDescent="0.2">
      <c r="B22" s="30"/>
      <c r="C22" s="30"/>
      <c r="D22" s="32" t="s">
        <v>846</v>
      </c>
      <c r="E22" s="33" t="s">
        <v>164</v>
      </c>
      <c r="F22" s="66"/>
      <c r="G22" s="66">
        <v>1</v>
      </c>
      <c r="H22" s="66"/>
      <c r="I22" s="30"/>
      <c r="J22" s="98"/>
      <c r="K22" s="99"/>
      <c r="L22" s="100"/>
      <c r="M22" s="100">
        <v>1</v>
      </c>
      <c r="N22" s="100"/>
      <c r="O22" s="98"/>
      <c r="P22" s="99"/>
      <c r="Q22" s="99"/>
      <c r="R22" s="98">
        <v>2</v>
      </c>
      <c r="S22" s="101">
        <v>234</v>
      </c>
      <c r="T22" s="102">
        <f t="shared" si="2"/>
        <v>468</v>
      </c>
    </row>
    <row r="23" spans="2:20" s="45" customFormat="1" x14ac:dyDescent="0.2">
      <c r="B23" s="30"/>
      <c r="C23" s="30"/>
      <c r="D23" s="32" t="s">
        <v>847</v>
      </c>
      <c r="E23" s="33" t="s">
        <v>164</v>
      </c>
      <c r="F23" s="66"/>
      <c r="G23" s="66">
        <v>1</v>
      </c>
      <c r="H23" s="66"/>
      <c r="I23" s="30"/>
      <c r="J23" s="98"/>
      <c r="K23" s="99"/>
      <c r="L23" s="100"/>
      <c r="M23" s="100">
        <v>1</v>
      </c>
      <c r="N23" s="100"/>
      <c r="O23" s="98"/>
      <c r="P23" s="99"/>
      <c r="Q23" s="99"/>
      <c r="R23" s="98">
        <v>2</v>
      </c>
      <c r="S23" s="101">
        <v>354</v>
      </c>
      <c r="T23" s="102">
        <f t="shared" si="2"/>
        <v>708</v>
      </c>
    </row>
    <row r="24" spans="2:20" s="45" customFormat="1" x14ac:dyDescent="0.2">
      <c r="B24" s="30"/>
      <c r="C24" s="7" t="s">
        <v>528</v>
      </c>
      <c r="D24" s="283" t="s">
        <v>848</v>
      </c>
      <c r="E24" s="249" t="s">
        <v>164</v>
      </c>
      <c r="F24" s="7"/>
      <c r="G24" s="7">
        <v>1</v>
      </c>
      <c r="H24" s="7"/>
      <c r="I24" s="8"/>
      <c r="J24" s="7"/>
      <c r="K24" s="8"/>
      <c r="L24" s="7"/>
      <c r="M24" s="7">
        <v>1</v>
      </c>
      <c r="N24" s="7"/>
      <c r="O24" s="8"/>
      <c r="P24" s="7"/>
      <c r="Q24" s="8"/>
      <c r="R24" s="7">
        <f t="shared" ref="R24:R32" si="3">SUM(F24:Q24)</f>
        <v>2</v>
      </c>
      <c r="S24" s="269">
        <v>546</v>
      </c>
      <c r="T24" s="15">
        <f t="shared" si="2"/>
        <v>1092</v>
      </c>
    </row>
    <row r="25" spans="2:20" s="45" customFormat="1" x14ac:dyDescent="0.2">
      <c r="B25" s="30"/>
      <c r="C25" s="7" t="s">
        <v>528</v>
      </c>
      <c r="D25" s="283" t="s">
        <v>849</v>
      </c>
      <c r="E25" s="249" t="s">
        <v>164</v>
      </c>
      <c r="F25" s="7"/>
      <c r="G25" s="7"/>
      <c r="H25" s="7"/>
      <c r="I25" s="8"/>
      <c r="J25" s="7">
        <v>1</v>
      </c>
      <c r="K25" s="8"/>
      <c r="L25" s="7"/>
      <c r="M25" s="7"/>
      <c r="N25" s="7"/>
      <c r="O25" s="8"/>
      <c r="P25" s="7">
        <v>1</v>
      </c>
      <c r="Q25" s="8"/>
      <c r="R25" s="7">
        <f t="shared" si="3"/>
        <v>2</v>
      </c>
      <c r="S25" s="269">
        <v>546</v>
      </c>
      <c r="T25" s="15">
        <f t="shared" si="2"/>
        <v>1092</v>
      </c>
    </row>
    <row r="26" spans="2:20" s="45" customFormat="1" x14ac:dyDescent="0.2">
      <c r="B26" s="30"/>
      <c r="C26" s="7" t="s">
        <v>528</v>
      </c>
      <c r="D26" s="283" t="s">
        <v>850</v>
      </c>
      <c r="E26" s="249" t="s">
        <v>164</v>
      </c>
      <c r="F26" s="7"/>
      <c r="G26" s="7"/>
      <c r="H26" s="7"/>
      <c r="I26" s="8"/>
      <c r="J26" s="7">
        <v>1</v>
      </c>
      <c r="K26" s="8"/>
      <c r="L26" s="7"/>
      <c r="M26" s="7"/>
      <c r="N26" s="7"/>
      <c r="O26" s="8"/>
      <c r="P26" s="7">
        <v>1</v>
      </c>
      <c r="Q26" s="8"/>
      <c r="R26" s="7">
        <f t="shared" si="3"/>
        <v>2</v>
      </c>
      <c r="S26" s="269">
        <v>666</v>
      </c>
      <c r="T26" s="15">
        <f t="shared" si="2"/>
        <v>1332</v>
      </c>
    </row>
    <row r="27" spans="2:20" x14ac:dyDescent="0.2">
      <c r="B27" s="30"/>
      <c r="C27" s="7" t="s">
        <v>528</v>
      </c>
      <c r="D27" s="283" t="s">
        <v>851</v>
      </c>
      <c r="E27" s="249" t="s">
        <v>164</v>
      </c>
      <c r="F27" s="7"/>
      <c r="G27" s="7"/>
      <c r="H27" s="7"/>
      <c r="I27" s="8"/>
      <c r="J27" s="7">
        <v>1</v>
      </c>
      <c r="K27" s="8"/>
      <c r="L27" s="7"/>
      <c r="M27" s="7"/>
      <c r="N27" s="7"/>
      <c r="O27" s="8"/>
      <c r="P27" s="7">
        <v>1</v>
      </c>
      <c r="Q27" s="8"/>
      <c r="R27" s="7">
        <f t="shared" si="3"/>
        <v>2</v>
      </c>
      <c r="S27" s="269">
        <v>2192.86</v>
      </c>
      <c r="T27" s="15">
        <f t="shared" si="2"/>
        <v>4385.72</v>
      </c>
    </row>
    <row r="28" spans="2:20" ht="13.5" thickBot="1" x14ac:dyDescent="0.25">
      <c r="B28" s="16"/>
      <c r="C28" s="7" t="s">
        <v>528</v>
      </c>
      <c r="D28" s="283" t="s">
        <v>852</v>
      </c>
      <c r="E28" s="249" t="s">
        <v>164</v>
      </c>
      <c r="F28" s="7"/>
      <c r="G28" s="7">
        <v>1</v>
      </c>
      <c r="H28" s="7"/>
      <c r="I28" s="8"/>
      <c r="J28" s="7"/>
      <c r="K28" s="8"/>
      <c r="L28" s="7"/>
      <c r="M28" s="7">
        <v>1</v>
      </c>
      <c r="N28" s="7"/>
      <c r="O28" s="8"/>
      <c r="P28" s="7"/>
      <c r="Q28" s="8"/>
      <c r="R28" s="7">
        <f t="shared" si="3"/>
        <v>2</v>
      </c>
      <c r="S28" s="269">
        <v>186</v>
      </c>
      <c r="T28" s="15">
        <f t="shared" si="2"/>
        <v>372</v>
      </c>
    </row>
    <row r="29" spans="2:20" x14ac:dyDescent="0.2">
      <c r="B29" s="30"/>
      <c r="C29" s="7" t="s">
        <v>528</v>
      </c>
      <c r="D29" s="284" t="s">
        <v>853</v>
      </c>
      <c r="E29" s="249" t="s">
        <v>164</v>
      </c>
      <c r="F29" s="7"/>
      <c r="G29" s="7"/>
      <c r="H29" s="7"/>
      <c r="I29" s="8"/>
      <c r="J29" s="7"/>
      <c r="K29" s="8"/>
      <c r="L29" s="7"/>
      <c r="M29" s="7">
        <v>1</v>
      </c>
      <c r="N29" s="7"/>
      <c r="O29" s="8"/>
      <c r="P29" s="7"/>
      <c r="Q29" s="8"/>
      <c r="R29" s="7">
        <f t="shared" si="3"/>
        <v>1</v>
      </c>
      <c r="S29" s="269">
        <v>425</v>
      </c>
      <c r="T29" s="15">
        <f t="shared" si="2"/>
        <v>425</v>
      </c>
    </row>
    <row r="30" spans="2:20" ht="13.5" thickBot="1" x14ac:dyDescent="0.25">
      <c r="B30" s="16"/>
      <c r="C30" s="7" t="s">
        <v>528</v>
      </c>
      <c r="D30" s="284" t="s">
        <v>854</v>
      </c>
      <c r="E30" s="249" t="s">
        <v>164</v>
      </c>
      <c r="F30" s="7"/>
      <c r="G30" s="7"/>
      <c r="H30" s="7"/>
      <c r="I30" s="8"/>
      <c r="J30" s="7">
        <v>1</v>
      </c>
      <c r="K30" s="8"/>
      <c r="L30" s="7"/>
      <c r="M30" s="7"/>
      <c r="N30" s="7"/>
      <c r="O30" s="8"/>
      <c r="P30" s="7">
        <v>1</v>
      </c>
      <c r="Q30" s="8"/>
      <c r="R30" s="7">
        <f t="shared" si="3"/>
        <v>2</v>
      </c>
      <c r="S30" s="269">
        <v>594</v>
      </c>
      <c r="T30" s="15">
        <f>+S30*R30</f>
        <v>1188</v>
      </c>
    </row>
    <row r="31" spans="2:20" x14ac:dyDescent="0.2">
      <c r="B31" s="30"/>
      <c r="C31" s="7" t="s">
        <v>528</v>
      </c>
      <c r="D31" s="284" t="s">
        <v>855</v>
      </c>
      <c r="E31" s="249" t="s">
        <v>164</v>
      </c>
      <c r="F31" s="7"/>
      <c r="G31" s="7"/>
      <c r="H31" s="7"/>
      <c r="I31" s="8"/>
      <c r="J31" s="7">
        <v>1</v>
      </c>
      <c r="K31" s="8"/>
      <c r="L31" s="7"/>
      <c r="M31" s="7"/>
      <c r="N31" s="7"/>
      <c r="O31" s="8"/>
      <c r="P31" s="7">
        <v>1</v>
      </c>
      <c r="Q31" s="8"/>
      <c r="R31" s="7">
        <f t="shared" si="3"/>
        <v>2</v>
      </c>
      <c r="S31" s="269">
        <v>546</v>
      </c>
      <c r="T31" s="15">
        <f>+S31*R31</f>
        <v>1092</v>
      </c>
    </row>
    <row r="32" spans="2:20" ht="13.5" thickBot="1" x14ac:dyDescent="0.25">
      <c r="B32" s="16"/>
      <c r="C32" s="7" t="s">
        <v>528</v>
      </c>
      <c r="D32" s="283" t="s">
        <v>856</v>
      </c>
      <c r="E32" s="249" t="s">
        <v>164</v>
      </c>
      <c r="F32" s="7"/>
      <c r="G32" s="7"/>
      <c r="H32" s="7"/>
      <c r="I32" s="8"/>
      <c r="J32" s="7">
        <v>1</v>
      </c>
      <c r="K32" s="8"/>
      <c r="L32" s="7"/>
      <c r="M32" s="7"/>
      <c r="N32" s="7"/>
      <c r="O32" s="8"/>
      <c r="P32" s="7">
        <v>1</v>
      </c>
      <c r="Q32" s="8"/>
      <c r="R32" s="7">
        <f t="shared" si="3"/>
        <v>2</v>
      </c>
      <c r="S32" s="269">
        <v>475</v>
      </c>
      <c r="T32" s="15">
        <f>+S32*R32</f>
        <v>950</v>
      </c>
    </row>
    <row r="33" spans="2:20" x14ac:dyDescent="0.2">
      <c r="B33" s="1"/>
      <c r="C33" s="1"/>
      <c r="D33" s="1"/>
      <c r="E33" s="1"/>
      <c r="F33" s="1"/>
      <c r="G33" s="1"/>
      <c r="H33" s="1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x14ac:dyDescent="0.2">
      <c r="B34" s="29"/>
      <c r="C34" s="29"/>
      <c r="D34" s="29"/>
      <c r="E34" s="29"/>
      <c r="F34" s="29"/>
      <c r="G34" s="29"/>
      <c r="H34" s="29"/>
      <c r="I34" s="42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2:20" x14ac:dyDescent="0.2">
      <c r="B35" s="29"/>
      <c r="C35" s="29"/>
      <c r="D35" s="29"/>
      <c r="E35" s="29"/>
      <c r="F35" s="29"/>
      <c r="G35" s="29"/>
      <c r="H35" s="29"/>
      <c r="I35" s="42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A4" zoomScale="115" zoomScaleNormal="115" workbookViewId="0">
      <selection activeCell="T15" sqref="T1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281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282</v>
      </c>
      <c r="E11" s="33" t="s">
        <v>85</v>
      </c>
      <c r="F11" s="66"/>
      <c r="G11" s="66"/>
      <c r="H11" s="66"/>
      <c r="I11" s="30">
        <v>5</v>
      </c>
      <c r="J11" s="53"/>
      <c r="K11" s="54"/>
      <c r="L11" s="69"/>
      <c r="M11" s="69"/>
      <c r="N11" s="69"/>
      <c r="O11" s="53"/>
      <c r="P11" s="54"/>
      <c r="Q11" s="54"/>
      <c r="R11" s="53">
        <f>SUM(F11:Q11)</f>
        <v>5</v>
      </c>
      <c r="S11" s="55">
        <v>43</v>
      </c>
      <c r="T11" s="56">
        <f>S11*R11</f>
        <v>215</v>
      </c>
    </row>
    <row r="12" spans="2:25" x14ac:dyDescent="0.2">
      <c r="B12" s="30"/>
      <c r="C12" s="7"/>
      <c r="D12" s="32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17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1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34.4</v>
      </c>
    </row>
    <row r="15" spans="2:25" x14ac:dyDescent="0.2">
      <c r="B15" s="13"/>
      <c r="C15" s="13"/>
      <c r="D15" s="1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249.4</v>
      </c>
    </row>
    <row r="16" spans="2:25" x14ac:dyDescent="0.2">
      <c r="B16" s="13"/>
      <c r="C16" s="13"/>
      <c r="D16" s="1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1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1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29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29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9"/>
  <sheetViews>
    <sheetView topLeftCell="A6" zoomScale="115" zoomScaleNormal="115" workbookViewId="0">
      <selection activeCell="D21" sqref="D2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219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220</v>
      </c>
      <c r="E11" s="33" t="s">
        <v>85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208.8</v>
      </c>
      <c r="T11" s="56">
        <f>S11*R11</f>
        <v>208.8</v>
      </c>
    </row>
    <row r="12" spans="2:25" s="45" customFormat="1" x14ac:dyDescent="0.2">
      <c r="B12" s="30">
        <v>2</v>
      </c>
      <c r="C12" s="30" t="s">
        <v>50</v>
      </c>
      <c r="D12" s="32" t="s">
        <v>258</v>
      </c>
      <c r="E12" s="33" t="s">
        <v>85</v>
      </c>
      <c r="F12" s="66">
        <v>8</v>
      </c>
      <c r="G12" s="66">
        <v>8</v>
      </c>
      <c r="H12" s="66">
        <v>4</v>
      </c>
      <c r="I12" s="30">
        <v>8</v>
      </c>
      <c r="J12" s="30">
        <v>8</v>
      </c>
      <c r="K12" s="57"/>
      <c r="L12" s="66">
        <v>2</v>
      </c>
      <c r="M12" s="66"/>
      <c r="N12" s="66"/>
      <c r="O12" s="30"/>
      <c r="P12" s="57"/>
      <c r="Q12" s="57"/>
      <c r="R12" s="30">
        <f>+SUM(F12:Q12)</f>
        <v>38</v>
      </c>
      <c r="S12" s="58">
        <v>3867</v>
      </c>
      <c r="T12" s="59">
        <f>+S12*R12</f>
        <v>146946</v>
      </c>
    </row>
    <row r="13" spans="2:25" s="45" customFormat="1" x14ac:dyDescent="0.2">
      <c r="B13" s="30">
        <v>3</v>
      </c>
      <c r="C13" s="44"/>
      <c r="D13" s="86" t="s">
        <v>401</v>
      </c>
      <c r="E13" s="87" t="s">
        <v>85</v>
      </c>
      <c r="F13" s="67">
        <v>4</v>
      </c>
      <c r="G13" s="67"/>
      <c r="H13" s="67"/>
      <c r="I13" s="44"/>
      <c r="J13" s="44"/>
      <c r="K13" s="60"/>
      <c r="L13" s="67"/>
      <c r="M13" s="67"/>
      <c r="N13" s="67"/>
      <c r="O13" s="44"/>
      <c r="P13" s="60"/>
      <c r="Q13" s="60"/>
      <c r="R13" s="30">
        <f>+SUM(F13:Q13)</f>
        <v>4</v>
      </c>
      <c r="S13" s="58">
        <v>1939.66</v>
      </c>
      <c r="T13" s="59">
        <f>+S13*R13</f>
        <v>7758.64</v>
      </c>
    </row>
    <row r="14" spans="2:25" s="45" customFormat="1" x14ac:dyDescent="0.2">
      <c r="B14" s="30">
        <v>4</v>
      </c>
      <c r="C14" s="44"/>
      <c r="D14" s="86" t="s">
        <v>402</v>
      </c>
      <c r="E14" s="87" t="s">
        <v>85</v>
      </c>
      <c r="F14" s="67">
        <v>4</v>
      </c>
      <c r="G14" s="67"/>
      <c r="H14" s="67"/>
      <c r="I14" s="44"/>
      <c r="J14" s="44"/>
      <c r="K14" s="60"/>
      <c r="L14" s="67"/>
      <c r="M14" s="67"/>
      <c r="N14" s="67"/>
      <c r="O14" s="44"/>
      <c r="P14" s="60"/>
      <c r="Q14" s="60"/>
      <c r="R14" s="30">
        <f>+SUM(F14:Q14)</f>
        <v>4</v>
      </c>
      <c r="S14" s="58">
        <v>2155.17</v>
      </c>
      <c r="T14" s="59">
        <f>+S14*R14</f>
        <v>8620.68</v>
      </c>
    </row>
    <row r="15" spans="2:25" s="45" customFormat="1" x14ac:dyDescent="0.2">
      <c r="B15" s="30">
        <v>5</v>
      </c>
      <c r="C15" s="44"/>
      <c r="D15" s="86" t="s">
        <v>502</v>
      </c>
      <c r="E15" s="87" t="s">
        <v>85</v>
      </c>
      <c r="F15" s="67">
        <v>8</v>
      </c>
      <c r="G15" s="67"/>
      <c r="H15" s="67"/>
      <c r="I15" s="44"/>
      <c r="J15" s="44"/>
      <c r="K15" s="60"/>
      <c r="L15" s="67"/>
      <c r="M15" s="67"/>
      <c r="N15" s="67"/>
      <c r="O15" s="44"/>
      <c r="P15" s="60"/>
      <c r="Q15" s="60"/>
      <c r="R15" s="30">
        <f>+SUM(F15:Q15)</f>
        <v>8</v>
      </c>
      <c r="S15" s="149">
        <f>1309/1.16</f>
        <v>1128.4482758620691</v>
      </c>
      <c r="T15" s="59">
        <f>+S15*R15</f>
        <v>9027.5862068965525</v>
      </c>
    </row>
    <row r="16" spans="2:25" s="45" customFormat="1" x14ac:dyDescent="0.2">
      <c r="B16" s="30">
        <v>6</v>
      </c>
      <c r="C16" s="44"/>
      <c r="D16" s="213" t="s">
        <v>736</v>
      </c>
      <c r="E16" s="207" t="s">
        <v>737</v>
      </c>
      <c r="F16" s="7"/>
      <c r="G16" s="7"/>
      <c r="H16" s="7"/>
      <c r="I16" s="208">
        <v>5</v>
      </c>
      <c r="J16" s="202"/>
      <c r="K16" s="208"/>
      <c r="L16" s="7"/>
      <c r="M16" s="7"/>
      <c r="N16" s="7"/>
      <c r="O16" s="7"/>
      <c r="P16" s="7"/>
      <c r="Q16" s="7"/>
      <c r="R16" s="7">
        <f t="shared" ref="R16:R17" si="0">SUM(F16:Q16)</f>
        <v>5</v>
      </c>
      <c r="S16" s="209">
        <v>450</v>
      </c>
      <c r="T16" s="15">
        <f>+R16*S16</f>
        <v>2250</v>
      </c>
    </row>
    <row r="17" spans="2:20" s="45" customFormat="1" ht="13.5" thickBot="1" x14ac:dyDescent="0.25">
      <c r="B17" s="30">
        <v>7</v>
      </c>
      <c r="C17" s="44"/>
      <c r="D17" s="179" t="s">
        <v>738</v>
      </c>
      <c r="E17" s="210" t="s">
        <v>493</v>
      </c>
      <c r="F17" s="7"/>
      <c r="G17" s="7"/>
      <c r="H17" s="7"/>
      <c r="I17" s="211">
        <v>4</v>
      </c>
      <c r="J17" s="185"/>
      <c r="K17" s="211"/>
      <c r="L17" s="7"/>
      <c r="M17" s="7"/>
      <c r="N17" s="7"/>
      <c r="O17" s="7"/>
      <c r="P17" s="7"/>
      <c r="Q17" s="7"/>
      <c r="R17" s="157">
        <f t="shared" si="0"/>
        <v>4</v>
      </c>
      <c r="S17" s="212">
        <v>2200</v>
      </c>
      <c r="T17" s="15">
        <f t="shared" ref="T17" si="1">+R17*S17</f>
        <v>8800</v>
      </c>
    </row>
    <row r="18" spans="2:20" s="45" customFormat="1" x14ac:dyDescent="0.2">
      <c r="B18" s="30">
        <v>8</v>
      </c>
      <c r="C18" s="135" t="s">
        <v>528</v>
      </c>
      <c r="D18" s="285" t="s">
        <v>857</v>
      </c>
      <c r="E18" s="244" t="s">
        <v>164</v>
      </c>
      <c r="F18" s="135"/>
      <c r="G18" s="135">
        <v>3</v>
      </c>
      <c r="H18" s="135"/>
      <c r="I18" s="134"/>
      <c r="J18" s="135">
        <v>2</v>
      </c>
      <c r="K18" s="134"/>
      <c r="L18" s="135"/>
      <c r="M18" s="135">
        <v>3</v>
      </c>
      <c r="N18" s="135"/>
      <c r="O18" s="134"/>
      <c r="P18" s="135">
        <v>2</v>
      </c>
      <c r="Q18" s="134"/>
      <c r="R18" s="219">
        <f>SUM(F18:Q18)</f>
        <v>10</v>
      </c>
      <c r="S18" s="286">
        <v>2155.172</v>
      </c>
      <c r="T18" s="238">
        <f>S18*R18</f>
        <v>21551.72</v>
      </c>
    </row>
    <row r="19" spans="2:20" s="45" customFormat="1" x14ac:dyDescent="0.2">
      <c r="B19" s="30">
        <v>9</v>
      </c>
      <c r="C19" s="7"/>
      <c r="D19" s="283"/>
      <c r="E19" s="249"/>
      <c r="F19" s="7"/>
      <c r="G19" s="7"/>
      <c r="H19" s="7"/>
      <c r="I19" s="8"/>
      <c r="J19" s="7"/>
      <c r="K19" s="8"/>
      <c r="L19" s="7"/>
      <c r="M19" s="7"/>
      <c r="N19" s="7"/>
      <c r="O19" s="8"/>
      <c r="P19" s="7"/>
      <c r="Q19" s="8"/>
      <c r="R19" s="7"/>
      <c r="S19" s="250"/>
      <c r="T19" s="15"/>
    </row>
    <row r="20" spans="2:20" s="45" customFormat="1" x14ac:dyDescent="0.2">
      <c r="B20" s="30">
        <v>10</v>
      </c>
      <c r="C20" s="44"/>
      <c r="D20" s="86"/>
      <c r="E20" s="87"/>
      <c r="F20" s="67"/>
      <c r="G20" s="67"/>
      <c r="H20" s="67"/>
      <c r="I20" s="44"/>
      <c r="J20" s="44"/>
      <c r="K20" s="60"/>
      <c r="L20" s="67"/>
      <c r="M20" s="67"/>
      <c r="N20" s="67"/>
      <c r="O20" s="44"/>
      <c r="P20" s="60"/>
      <c r="Q20" s="60"/>
      <c r="R20" s="44"/>
      <c r="S20" s="61"/>
      <c r="T20" s="93"/>
    </row>
    <row r="21" spans="2:20" s="45" customFormat="1" x14ac:dyDescent="0.2">
      <c r="B21" s="30">
        <v>11</v>
      </c>
      <c r="C21" s="44"/>
      <c r="D21" s="86"/>
      <c r="E21" s="87"/>
      <c r="F21" s="67"/>
      <c r="G21" s="67"/>
      <c r="H21" s="67"/>
      <c r="I21" s="44"/>
      <c r="J21" s="44"/>
      <c r="K21" s="60"/>
      <c r="L21" s="67"/>
      <c r="M21" s="67"/>
      <c r="N21" s="67"/>
      <c r="O21" s="44"/>
      <c r="P21" s="60"/>
      <c r="Q21" s="60"/>
      <c r="R21" s="44"/>
      <c r="S21" s="61"/>
      <c r="T21" s="93"/>
    </row>
    <row r="22" spans="2:20" ht="13.5" thickBot="1" x14ac:dyDescent="0.25">
      <c r="B22" s="30">
        <v>12</v>
      </c>
      <c r="C22" s="17"/>
      <c r="D22" s="17"/>
      <c r="E22" s="17"/>
      <c r="F22" s="75"/>
      <c r="G22" s="76"/>
      <c r="H22" s="75"/>
      <c r="I22" s="17"/>
      <c r="J22" s="17"/>
      <c r="K22" s="18"/>
      <c r="L22" s="75"/>
      <c r="M22" s="76"/>
      <c r="N22" s="75"/>
      <c r="O22" s="18"/>
      <c r="P22" s="18"/>
      <c r="Q22" s="18"/>
      <c r="R22" s="17"/>
      <c r="S22" s="19"/>
      <c r="T22" s="20"/>
    </row>
    <row r="23" spans="2:20" x14ac:dyDescent="0.2">
      <c r="B23" s="13"/>
      <c r="C23" s="13"/>
      <c r="D23" s="1"/>
      <c r="E23" s="13"/>
      <c r="F23" s="1"/>
      <c r="G23" s="1"/>
      <c r="H23" s="1"/>
      <c r="I23" s="13"/>
      <c r="J23" s="1"/>
      <c r="K23" s="1"/>
      <c r="L23" s="1"/>
      <c r="M23" s="1"/>
      <c r="N23" s="1"/>
      <c r="O23" s="1"/>
      <c r="P23" s="1"/>
      <c r="Q23" s="1"/>
      <c r="R23" s="1"/>
      <c r="S23" s="11" t="s">
        <v>18</v>
      </c>
      <c r="T23" s="26">
        <f>+SUM(T11:T12)*0.16</f>
        <v>23544.768</v>
      </c>
    </row>
    <row r="24" spans="2:20" x14ac:dyDescent="0.2">
      <c r="B24" s="13"/>
      <c r="C24" s="13"/>
      <c r="D24" s="1"/>
      <c r="E24" s="13"/>
      <c r="F24" s="1"/>
      <c r="G24" s="1"/>
      <c r="H24" s="1"/>
      <c r="I24" s="13"/>
      <c r="J24" s="1"/>
      <c r="K24" s="1"/>
      <c r="L24" s="1"/>
      <c r="M24" s="1"/>
      <c r="N24" s="1"/>
      <c r="O24" s="1"/>
      <c r="P24" s="1"/>
      <c r="Q24" s="1"/>
      <c r="R24" s="1"/>
      <c r="S24" s="27" t="s">
        <v>17</v>
      </c>
      <c r="T24" s="28">
        <f>SUM(T11:T23)</f>
        <v>228708.19420689656</v>
      </c>
    </row>
    <row r="25" spans="2:20" x14ac:dyDescent="0.2">
      <c r="B25" s="13"/>
      <c r="C25" s="13"/>
      <c r="D25" s="1"/>
      <c r="E25" s="13"/>
      <c r="F25" s="1"/>
      <c r="G25" s="1"/>
      <c r="H25" s="1"/>
      <c r="I25" s="13"/>
      <c r="J25" s="1"/>
      <c r="K25" s="1"/>
      <c r="L25" s="1"/>
      <c r="M25" s="1"/>
      <c r="N25" s="1"/>
      <c r="O25" s="1"/>
      <c r="P25" s="1"/>
      <c r="Q25" s="1"/>
      <c r="R25" s="1"/>
      <c r="S25" s="11"/>
      <c r="T25" s="11"/>
    </row>
    <row r="26" spans="2:20" x14ac:dyDescent="0.2">
      <c r="B26" s="1"/>
      <c r="C26" s="1"/>
      <c r="D26" s="1"/>
      <c r="E26" s="1"/>
      <c r="F26" s="1"/>
      <c r="G26" s="1"/>
      <c r="H26" s="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2"/>
    </row>
    <row r="27" spans="2:20" x14ac:dyDescent="0.2">
      <c r="B27" s="1"/>
      <c r="C27" s="1"/>
      <c r="D27" s="1"/>
      <c r="E27" s="1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">
      <c r="B28" s="29"/>
      <c r="C28" s="29"/>
      <c r="D28" s="29"/>
      <c r="E28" s="29"/>
      <c r="F28" s="29"/>
      <c r="G28" s="29"/>
      <c r="H28" s="29"/>
      <c r="I28" s="42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">
      <c r="B29" s="29"/>
      <c r="C29" s="29"/>
      <c r="D29" s="29"/>
      <c r="E29" s="29"/>
      <c r="F29" s="29"/>
      <c r="G29" s="29"/>
      <c r="H29" s="29"/>
      <c r="I29" s="42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A4" zoomScale="115" zoomScaleNormal="115" workbookViewId="0">
      <selection activeCell="T15" sqref="T1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225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226</v>
      </c>
      <c r="E11" s="33" t="s">
        <v>85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980.7</v>
      </c>
      <c r="T11" s="56">
        <f>S11*R11</f>
        <v>980.7</v>
      </c>
    </row>
    <row r="12" spans="2:25" x14ac:dyDescent="0.2">
      <c r="B12" s="30"/>
      <c r="C12" s="7"/>
      <c r="D12" s="32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17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1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+SUM(T11:T12)*0.16</f>
        <v>156.91200000000001</v>
      </c>
    </row>
    <row r="15" spans="2:25" x14ac:dyDescent="0.2">
      <c r="B15" s="13"/>
      <c r="C15" s="13"/>
      <c r="D15" s="1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1137.6120000000001</v>
      </c>
    </row>
    <row r="16" spans="2:25" x14ac:dyDescent="0.2">
      <c r="B16" s="13"/>
      <c r="C16" s="13"/>
      <c r="D16" s="1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1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1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29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29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C4" zoomScale="115" zoomScaleNormal="115" workbookViewId="0">
      <selection activeCell="T15" sqref="T1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227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228</v>
      </c>
      <c r="E11" s="33" t="s">
        <v>85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/>
      <c r="Q11" s="54"/>
      <c r="R11" s="53">
        <f>SUM(F11:Q11)</f>
        <v>1</v>
      </c>
      <c r="S11" s="55">
        <v>1218</v>
      </c>
      <c r="T11" s="56">
        <f>S11*R11</f>
        <v>1218</v>
      </c>
    </row>
    <row r="12" spans="2:25" x14ac:dyDescent="0.2">
      <c r="B12" s="30"/>
      <c r="C12" s="7"/>
      <c r="D12" s="32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17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1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194.88</v>
      </c>
    </row>
    <row r="15" spans="2:25" x14ac:dyDescent="0.2">
      <c r="B15" s="13"/>
      <c r="C15" s="13"/>
      <c r="D15" s="1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1412.88</v>
      </c>
    </row>
    <row r="16" spans="2:25" x14ac:dyDescent="0.2">
      <c r="B16" s="13"/>
      <c r="C16" s="13"/>
      <c r="D16" s="1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1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1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29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29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10" workbookViewId="0">
      <selection activeCell="M23" sqref="M2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503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45" x14ac:dyDescent="0.2">
      <c r="B11" s="131">
        <v>1</v>
      </c>
      <c r="C11" s="135" t="s">
        <v>50</v>
      </c>
      <c r="D11" s="143" t="s">
        <v>504</v>
      </c>
      <c r="E11" s="7" t="s">
        <v>505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>
        <v>1</v>
      </c>
      <c r="R11" s="144">
        <v>1</v>
      </c>
      <c r="S11" s="150">
        <f>64000/1.16</f>
        <v>55172.413793103449</v>
      </c>
      <c r="T11" s="138">
        <f>S11*R11</f>
        <v>55172.413793103449</v>
      </c>
    </row>
    <row r="12" spans="2:25" x14ac:dyDescent="0.2">
      <c r="B12" s="14"/>
      <c r="C12" s="7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44"/>
      <c r="S12" s="145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55172.413793103449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8827.5862068965525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64000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L7" zoomScale="115" zoomScaleNormal="115" workbookViewId="0">
      <selection activeCell="R12" sqref="R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131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132</v>
      </c>
      <c r="E11" s="33" t="s">
        <v>85</v>
      </c>
      <c r="F11" s="66">
        <v>3</v>
      </c>
      <c r="G11" s="66">
        <v>3</v>
      </c>
      <c r="H11" s="66">
        <v>2</v>
      </c>
      <c r="I11" s="30">
        <f>17+3+1+1+1</f>
        <v>23</v>
      </c>
      <c r="J11" s="53"/>
      <c r="K11" s="54"/>
      <c r="L11" s="69"/>
      <c r="M11" s="69"/>
      <c r="N11" s="69"/>
      <c r="O11" s="53">
        <v>1</v>
      </c>
      <c r="P11" s="54">
        <v>3</v>
      </c>
      <c r="Q11" s="54">
        <v>3</v>
      </c>
      <c r="R11" s="53">
        <f>SUM(F11:Q11)</f>
        <v>38</v>
      </c>
      <c r="S11" s="55">
        <v>370.69</v>
      </c>
      <c r="T11" s="56">
        <f>S11*R11</f>
        <v>14086.22</v>
      </c>
    </row>
    <row r="12" spans="2:25" x14ac:dyDescent="0.2">
      <c r="B12" s="30"/>
      <c r="C12" s="7"/>
      <c r="D12" s="32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17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1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2253.7952</v>
      </c>
    </row>
    <row r="15" spans="2:25" x14ac:dyDescent="0.2">
      <c r="B15" s="13"/>
      <c r="C15" s="13"/>
      <c r="D15" s="1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16340.0152</v>
      </c>
    </row>
    <row r="16" spans="2:25" x14ac:dyDescent="0.2">
      <c r="B16" s="13"/>
      <c r="C16" s="13"/>
      <c r="D16" s="1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1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1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29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29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19"/>
  <sheetViews>
    <sheetView topLeftCell="N1" workbookViewId="0">
      <selection activeCell="V26" sqref="V2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10.28515625" bestFit="1" customWidth="1"/>
    <col min="8" max="8" width="8.285156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3.42578125" bestFit="1" customWidth="1"/>
    <col min="15" max="15" width="10.28515625" bestFit="1" customWidth="1"/>
    <col min="16" max="16" width="12.42578125" bestFit="1" customWidth="1"/>
    <col min="17" max="17" width="11.710937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765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30">
        <v>1</v>
      </c>
      <c r="C11" s="30" t="s">
        <v>50</v>
      </c>
      <c r="D11" s="31" t="s">
        <v>764</v>
      </c>
      <c r="E11" s="30" t="s">
        <v>52</v>
      </c>
      <c r="F11" s="66"/>
      <c r="G11" s="66">
        <v>1</v>
      </c>
      <c r="H11" s="66"/>
      <c r="I11" s="30"/>
      <c r="J11" s="30"/>
      <c r="K11" s="30"/>
      <c r="L11" s="66">
        <v>1</v>
      </c>
      <c r="M11" s="70"/>
      <c r="N11" s="66"/>
      <c r="O11" s="30"/>
      <c r="P11" s="57">
        <v>1</v>
      </c>
      <c r="Q11" s="57"/>
      <c r="R11" s="30">
        <f t="shared" ref="R11" si="0">+SUM(F11:Q11)</f>
        <v>3</v>
      </c>
      <c r="S11" s="95">
        <v>660.92</v>
      </c>
      <c r="T11" s="59">
        <f>S11*R11</f>
        <v>1982.7599999999998</v>
      </c>
    </row>
    <row r="12" spans="2:25" x14ac:dyDescent="0.2">
      <c r="B12" s="13"/>
      <c r="C12" s="13"/>
      <c r="D12" s="1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" t="s">
        <v>18</v>
      </c>
      <c r="T12" s="26">
        <f>T11*0.16</f>
        <v>317.24159999999995</v>
      </c>
    </row>
    <row r="13" spans="2:25" x14ac:dyDescent="0.2">
      <c r="B13" s="13"/>
      <c r="C13" s="13"/>
      <c r="D13" s="1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7" t="s">
        <v>17</v>
      </c>
      <c r="T13" s="28">
        <f>SUM(T11:T12)</f>
        <v>2300.0015999999996</v>
      </c>
    </row>
    <row r="14" spans="2:25" x14ac:dyDescent="0.2">
      <c r="B14" s="13"/>
      <c r="C14" s="13"/>
      <c r="D14" s="1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"/>
      <c r="T14" s="11"/>
    </row>
    <row r="15" spans="2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2"/>
    </row>
    <row r="16" spans="2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2:20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x14ac:dyDescent="0.2">
      <c r="D19" s="223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A5" zoomScale="115" zoomScaleNormal="115" workbookViewId="0">
      <selection activeCell="E18" sqref="E1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33.75" x14ac:dyDescent="0.2">
      <c r="B8" s="292" t="s">
        <v>19</v>
      </c>
      <c r="C8" s="292"/>
      <c r="D8" s="80" t="s">
        <v>190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13.5" thickBot="1" x14ac:dyDescent="0.25">
      <c r="B11" s="30">
        <v>1</v>
      </c>
      <c r="C11" s="30" t="s">
        <v>50</v>
      </c>
      <c r="D11" s="32" t="s">
        <v>191</v>
      </c>
      <c r="E11" s="33" t="s">
        <v>85</v>
      </c>
      <c r="F11" s="66"/>
      <c r="G11" s="66"/>
      <c r="H11" s="66">
        <v>1</v>
      </c>
      <c r="I11" s="30"/>
      <c r="J11" s="53">
        <v>1</v>
      </c>
      <c r="K11" s="54"/>
      <c r="L11" s="69"/>
      <c r="M11" s="69"/>
      <c r="N11" s="69"/>
      <c r="O11" s="53"/>
      <c r="P11" s="54"/>
      <c r="Q11" s="54"/>
      <c r="R11" s="53">
        <f>SUM(F11:Q11)</f>
        <v>2</v>
      </c>
      <c r="S11" s="55">
        <v>1630.5</v>
      </c>
      <c r="T11" s="56">
        <f>S11*R11</f>
        <v>3261</v>
      </c>
    </row>
    <row r="12" spans="2:25" ht="22.5" x14ac:dyDescent="0.2">
      <c r="B12" s="30"/>
      <c r="C12" s="7"/>
      <c r="D12" s="143" t="s">
        <v>506</v>
      </c>
      <c r="E12" s="7" t="s">
        <v>505</v>
      </c>
      <c r="F12" s="135">
        <f>R12</f>
        <v>1</v>
      </c>
      <c r="G12" s="134"/>
      <c r="H12" s="135"/>
      <c r="I12" s="134"/>
      <c r="J12" s="135"/>
      <c r="K12" s="134"/>
      <c r="L12" s="135"/>
      <c r="M12" s="134"/>
      <c r="N12" s="135"/>
      <c r="O12" s="134"/>
      <c r="P12" s="134"/>
      <c r="Q12" s="134">
        <v>1</v>
      </c>
      <c r="R12" s="144">
        <v>1</v>
      </c>
      <c r="S12" s="151">
        <f>15000/1.16</f>
        <v>12931.034482758621</v>
      </c>
      <c r="T12" s="138">
        <f>S12*R12</f>
        <v>12931.034482758621</v>
      </c>
    </row>
    <row r="13" spans="2:25" ht="13.5" thickBot="1" x14ac:dyDescent="0.25">
      <c r="B13" s="16"/>
      <c r="C13" s="17"/>
      <c r="D13" s="17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1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521.76</v>
      </c>
    </row>
    <row r="15" spans="2:25" x14ac:dyDescent="0.2">
      <c r="B15" s="13"/>
      <c r="C15" s="13"/>
      <c r="D15" s="1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16713.794482758622</v>
      </c>
    </row>
    <row r="16" spans="2:25" x14ac:dyDescent="0.2">
      <c r="B16" s="13"/>
      <c r="C16" s="13"/>
      <c r="D16" s="1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1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1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29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29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B7" zoomScale="115" zoomScaleNormal="115" workbookViewId="0">
      <selection activeCell="T14" sqref="T1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242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243</v>
      </c>
      <c r="E11" s="33" t="s">
        <v>165</v>
      </c>
      <c r="F11" s="66"/>
      <c r="G11" s="66"/>
      <c r="H11" s="66"/>
      <c r="I11" s="30"/>
      <c r="J11" s="53"/>
      <c r="K11" s="54"/>
      <c r="L11" s="69"/>
      <c r="M11" s="69">
        <v>1</v>
      </c>
      <c r="N11" s="69"/>
      <c r="O11" s="53"/>
      <c r="P11" s="54"/>
      <c r="Q11" s="54"/>
      <c r="R11" s="53">
        <f>SUM(F11:Q11)</f>
        <v>1</v>
      </c>
      <c r="S11" s="55">
        <v>246</v>
      </c>
      <c r="T11" s="56">
        <f>S11*R11</f>
        <v>246</v>
      </c>
    </row>
    <row r="12" spans="2:25" x14ac:dyDescent="0.2">
      <c r="B12" s="30"/>
      <c r="C12" s="7"/>
      <c r="D12" s="36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83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84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39.36</v>
      </c>
    </row>
    <row r="15" spans="2:25" x14ac:dyDescent="0.2">
      <c r="B15" s="13"/>
      <c r="C15" s="13"/>
      <c r="D15" s="84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285.36</v>
      </c>
    </row>
    <row r="16" spans="2:25" x14ac:dyDescent="0.2">
      <c r="B16" s="13"/>
      <c r="C16" s="13"/>
      <c r="D16" s="84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84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84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85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85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20"/>
  <sheetViews>
    <sheetView topLeftCell="A4" zoomScale="115" zoomScaleNormal="115" workbookViewId="0">
      <selection activeCell="Q12" sqref="Q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232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233</v>
      </c>
      <c r="E11" s="33" t="s">
        <v>234</v>
      </c>
      <c r="F11" s="66"/>
      <c r="G11" s="66"/>
      <c r="H11" s="66"/>
      <c r="I11" s="30"/>
      <c r="J11" s="53"/>
      <c r="K11" s="54"/>
      <c r="L11" s="69"/>
      <c r="M11" s="69">
        <v>3</v>
      </c>
      <c r="N11" s="69">
        <v>3</v>
      </c>
      <c r="O11" s="53">
        <v>2</v>
      </c>
      <c r="P11" s="54">
        <v>3</v>
      </c>
      <c r="Q11" s="54">
        <v>3</v>
      </c>
      <c r="R11" s="53">
        <f>SUM(F11:Q11)</f>
        <v>14</v>
      </c>
      <c r="S11" s="55">
        <v>696</v>
      </c>
      <c r="T11" s="56">
        <f>S11*R11</f>
        <v>9744</v>
      </c>
    </row>
    <row r="12" spans="2:25" x14ac:dyDescent="0.2">
      <c r="B12" s="30"/>
      <c r="C12" s="7"/>
      <c r="D12" s="36"/>
      <c r="E12" s="33"/>
      <c r="F12" s="73"/>
      <c r="G12" s="66"/>
      <c r="H12" s="73"/>
      <c r="I12" s="7"/>
      <c r="J12" s="7"/>
      <c r="K12" s="8"/>
      <c r="L12" s="73"/>
      <c r="M12" s="74"/>
      <c r="N12" s="73"/>
      <c r="O12" s="8"/>
      <c r="P12" s="8"/>
      <c r="Q12" s="8"/>
      <c r="R12" s="7"/>
      <c r="S12" s="9"/>
      <c r="T12" s="34"/>
    </row>
    <row r="13" spans="2:25" ht="13.5" thickBot="1" x14ac:dyDescent="0.25">
      <c r="B13" s="16"/>
      <c r="C13" s="17"/>
      <c r="D13" s="83"/>
      <c r="E13" s="17"/>
      <c r="F13" s="75"/>
      <c r="G13" s="76"/>
      <c r="H13" s="75"/>
      <c r="I13" s="17"/>
      <c r="J13" s="17"/>
      <c r="K13" s="18"/>
      <c r="L13" s="75"/>
      <c r="M13" s="76"/>
      <c r="N13" s="75"/>
      <c r="O13" s="18"/>
      <c r="P13" s="18"/>
      <c r="Q13" s="18"/>
      <c r="R13" s="17"/>
      <c r="S13" s="19"/>
      <c r="T13" s="20"/>
    </row>
    <row r="14" spans="2:25" x14ac:dyDescent="0.2">
      <c r="B14" s="13"/>
      <c r="C14" s="13"/>
      <c r="D14" s="84"/>
      <c r="E14" s="13"/>
      <c r="F14" s="1"/>
      <c r="G14" s="1"/>
      <c r="H14" s="1"/>
      <c r="I14" s="13"/>
      <c r="J14" s="1"/>
      <c r="K14" s="1"/>
      <c r="L14" s="1"/>
      <c r="M14" s="1"/>
      <c r="N14" s="1"/>
      <c r="O14" s="1"/>
      <c r="P14" s="1"/>
      <c r="Q14" s="1"/>
      <c r="R14" s="1"/>
      <c r="S14" s="11" t="s">
        <v>18</v>
      </c>
      <c r="T14" s="26">
        <f>+T11*0.16</f>
        <v>1559.04</v>
      </c>
    </row>
    <row r="15" spans="2:25" x14ac:dyDescent="0.2">
      <c r="B15" s="13"/>
      <c r="C15" s="13"/>
      <c r="D15" s="84"/>
      <c r="E15" s="13"/>
      <c r="F15" s="1"/>
      <c r="G15" s="1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27" t="s">
        <v>17</v>
      </c>
      <c r="T15" s="28">
        <f>SUM(T11:T14)</f>
        <v>11303.04</v>
      </c>
    </row>
    <row r="16" spans="2:25" x14ac:dyDescent="0.2">
      <c r="B16" s="13"/>
      <c r="C16" s="13"/>
      <c r="D16" s="84"/>
      <c r="E16" s="13"/>
      <c r="F16" s="1"/>
      <c r="G16" s="1"/>
      <c r="H16" s="1"/>
      <c r="I16" s="13"/>
      <c r="J16" s="1"/>
      <c r="K16" s="1"/>
      <c r="L16" s="1"/>
      <c r="M16" s="1"/>
      <c r="N16" s="1"/>
      <c r="O16" s="1"/>
      <c r="P16" s="1"/>
      <c r="Q16" s="1"/>
      <c r="R16" s="1"/>
      <c r="S16" s="11"/>
      <c r="T16" s="11"/>
    </row>
    <row r="17" spans="2:20" x14ac:dyDescent="0.2">
      <c r="B17" s="1"/>
      <c r="C17" s="1"/>
      <c r="D17" s="84"/>
      <c r="E17" s="1"/>
      <c r="F17" s="1"/>
      <c r="G17" s="1"/>
      <c r="H17" s="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2"/>
    </row>
    <row r="18" spans="2:20" x14ac:dyDescent="0.2">
      <c r="B18" s="1"/>
      <c r="C18" s="1"/>
      <c r="D18" s="84"/>
      <c r="E18" s="1"/>
      <c r="F18" s="1"/>
      <c r="G18" s="1"/>
      <c r="H18" s="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29"/>
      <c r="C19" s="29"/>
      <c r="D19" s="85"/>
      <c r="E19" s="29"/>
      <c r="F19" s="29"/>
      <c r="G19" s="29"/>
      <c r="H19" s="29"/>
      <c r="I19" s="4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x14ac:dyDescent="0.2">
      <c r="B20" s="29"/>
      <c r="C20" s="29"/>
      <c r="D20" s="85"/>
      <c r="E20" s="29"/>
      <c r="F20" s="29"/>
      <c r="G20" s="29"/>
      <c r="H20" s="29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4" workbookViewId="0">
      <selection activeCell="D19" sqref="D1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507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131">
        <v>1</v>
      </c>
      <c r="C11" s="135" t="s">
        <v>50</v>
      </c>
      <c r="D11" s="7" t="s">
        <v>508</v>
      </c>
      <c r="E11" s="7" t="s">
        <v>505</v>
      </c>
      <c r="F11" s="135">
        <f>R11</f>
        <v>1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44">
        <v>1</v>
      </c>
      <c r="S11" s="145">
        <f>20000</f>
        <v>20000</v>
      </c>
      <c r="T11" s="138">
        <f>S11*R11</f>
        <v>20000</v>
      </c>
    </row>
    <row r="12" spans="2:25" x14ac:dyDescent="0.2">
      <c r="B12" s="14"/>
      <c r="C12" s="7"/>
      <c r="D12" s="213"/>
      <c r="E12" s="207"/>
      <c r="F12" s="7"/>
      <c r="G12" s="7"/>
      <c r="H12" s="7"/>
      <c r="I12" s="214"/>
      <c r="J12" s="215"/>
      <c r="K12" s="214"/>
      <c r="L12" s="7"/>
      <c r="M12" s="7"/>
      <c r="N12" s="7"/>
      <c r="O12" s="7"/>
      <c r="P12" s="7"/>
      <c r="Q12" s="7"/>
      <c r="R12" s="7"/>
      <c r="S12" s="209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20000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3200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23200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10" workbookViewId="0">
      <selection activeCell="T47" sqref="T4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509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131">
        <v>1</v>
      </c>
      <c r="C11" s="135" t="s">
        <v>50</v>
      </c>
      <c r="D11" s="7" t="s">
        <v>510</v>
      </c>
      <c r="E11" s="7" t="s">
        <v>493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>
        <v>1</v>
      </c>
      <c r="R11" s="144">
        <v>1</v>
      </c>
      <c r="S11" s="145">
        <f>40000/1.16</f>
        <v>34482.758620689659</v>
      </c>
      <c r="T11" s="138">
        <f>S11*R11</f>
        <v>34482.758620689659</v>
      </c>
    </row>
    <row r="12" spans="2:25" x14ac:dyDescent="0.2">
      <c r="B12" s="14"/>
      <c r="C12" s="7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44"/>
      <c r="S12" s="145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34482.758620689659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5517.241379310346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40000.000000000007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40"/>
  <sheetViews>
    <sheetView topLeftCell="A7" zoomScale="130" zoomScaleNormal="130" workbookViewId="0">
      <selection activeCell="F22" sqref="F2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10.28515625" customWidth="1"/>
    <col min="6" max="6" width="6.85546875" style="4" bestFit="1" customWidth="1"/>
    <col min="7" max="7" width="7.7109375" bestFit="1" customWidth="1"/>
    <col min="8" max="8" width="6.42578125" style="4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6" bestFit="1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599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8" t="s">
        <v>600</v>
      </c>
      <c r="E11" s="30"/>
      <c r="F11" s="66">
        <v>1</v>
      </c>
      <c r="G11" s="66">
        <v>1</v>
      </c>
      <c r="H11" s="66">
        <v>1</v>
      </c>
      <c r="I11" s="30">
        <v>1</v>
      </c>
      <c r="J11" s="53">
        <v>1</v>
      </c>
      <c r="K11" s="53">
        <v>1</v>
      </c>
      <c r="L11" s="69">
        <v>1</v>
      </c>
      <c r="M11" s="69">
        <v>1</v>
      </c>
      <c r="N11" s="69">
        <v>1</v>
      </c>
      <c r="O11" s="53">
        <v>1</v>
      </c>
      <c r="P11" s="53">
        <v>1</v>
      </c>
      <c r="Q11" s="53">
        <v>1</v>
      </c>
      <c r="R11" s="53">
        <f>SUM(F11:Q11)</f>
        <v>12</v>
      </c>
      <c r="S11" s="55">
        <v>2900</v>
      </c>
      <c r="T11" s="56">
        <v>4303.59</v>
      </c>
    </row>
    <row r="12" spans="2:25" s="45" customFormat="1" ht="25.5" x14ac:dyDescent="0.2">
      <c r="B12" s="30">
        <v>2</v>
      </c>
      <c r="C12" s="30" t="s">
        <v>50</v>
      </c>
      <c r="D12" s="39" t="s">
        <v>601</v>
      </c>
      <c r="E12" s="30"/>
      <c r="F12" s="66">
        <v>1</v>
      </c>
      <c r="G12" s="66">
        <v>1</v>
      </c>
      <c r="H12" s="66">
        <v>1</v>
      </c>
      <c r="I12" s="30">
        <v>1</v>
      </c>
      <c r="J12" s="30">
        <v>1</v>
      </c>
      <c r="K12" s="30">
        <v>1</v>
      </c>
      <c r="L12" s="66">
        <v>1</v>
      </c>
      <c r="M12" s="66">
        <v>1</v>
      </c>
      <c r="N12" s="66">
        <v>1</v>
      </c>
      <c r="O12" s="30">
        <v>1</v>
      </c>
      <c r="P12" s="30">
        <v>1</v>
      </c>
      <c r="Q12" s="30">
        <v>1</v>
      </c>
      <c r="R12" s="30">
        <f>+SUM(F12:Q12)</f>
        <v>12</v>
      </c>
      <c r="S12" s="58">
        <v>11400</v>
      </c>
      <c r="T12" s="59">
        <f>2983.01+1580+2370.69+464+564+89+148+511+158+129+1718+284+58+209+275+504+2916+141+84+435+500.01+497+248.99+259+1845+1800+225.01+1559+812+276+234.32+238+500.01+497+248.99+259+1913+11600+1900+1960.01+404+1800.03+390+736+138+400+404+325+909+87+324+523+149+307+496+243+388.6+1369.99+1250+182+997+455+1299+1426.8+805+602.04+234.99+1067.2+700+262+30000</f>
        <v>91667.69</v>
      </c>
    </row>
    <row r="13" spans="2:25" s="45" customFormat="1" ht="25.5" x14ac:dyDescent="0.2">
      <c r="B13" s="30">
        <v>3</v>
      </c>
      <c r="C13" s="30" t="s">
        <v>50</v>
      </c>
      <c r="D13" s="39" t="s">
        <v>602</v>
      </c>
      <c r="E13" s="30"/>
      <c r="F13" s="66">
        <v>1</v>
      </c>
      <c r="G13" s="66">
        <v>1</v>
      </c>
      <c r="H13" s="66">
        <v>1</v>
      </c>
      <c r="I13" s="30">
        <v>1</v>
      </c>
      <c r="J13" s="30">
        <v>1</v>
      </c>
      <c r="K13" s="30">
        <v>1</v>
      </c>
      <c r="L13" s="66">
        <v>1</v>
      </c>
      <c r="M13" s="66">
        <v>1</v>
      </c>
      <c r="N13" s="66">
        <v>1</v>
      </c>
      <c r="O13" s="30">
        <v>1</v>
      </c>
      <c r="P13" s="30">
        <v>1</v>
      </c>
      <c r="Q13" s="30">
        <v>1</v>
      </c>
      <c r="R13" s="30">
        <f>+SUM(F13:Q13)</f>
        <v>12</v>
      </c>
      <c r="S13" s="58">
        <v>33650</v>
      </c>
      <c r="T13" s="59">
        <f>+S13*R13</f>
        <v>403800</v>
      </c>
    </row>
    <row r="14" spans="2:25" s="45" customFormat="1" ht="38.25" x14ac:dyDescent="0.2">
      <c r="B14" s="30">
        <v>4</v>
      </c>
      <c r="C14" s="30" t="s">
        <v>50</v>
      </c>
      <c r="D14" s="39" t="s">
        <v>603</v>
      </c>
      <c r="E14" s="30"/>
      <c r="F14" s="66"/>
      <c r="G14" s="66"/>
      <c r="H14" s="66"/>
      <c r="I14" s="30"/>
      <c r="J14" s="30"/>
      <c r="K14" s="30"/>
      <c r="L14" s="66">
        <v>1</v>
      </c>
      <c r="M14" s="66">
        <v>1</v>
      </c>
      <c r="N14" s="66">
        <v>1</v>
      </c>
      <c r="O14" s="30">
        <v>1</v>
      </c>
      <c r="P14" s="30">
        <v>1</v>
      </c>
      <c r="Q14" s="30">
        <v>1</v>
      </c>
      <c r="R14" s="30">
        <f>+SUM(F14:Q14)</f>
        <v>6</v>
      </c>
      <c r="S14" s="58">
        <v>13950</v>
      </c>
      <c r="T14" s="59">
        <f>+R14*S14</f>
        <v>83700</v>
      </c>
    </row>
    <row r="15" spans="2:25" s="45" customFormat="1" ht="38.25" x14ac:dyDescent="0.2">
      <c r="B15" s="30">
        <v>5</v>
      </c>
      <c r="C15" s="30" t="s">
        <v>50</v>
      </c>
      <c r="D15" s="39" t="s">
        <v>603</v>
      </c>
      <c r="E15" s="30"/>
      <c r="F15" s="66"/>
      <c r="G15" s="66"/>
      <c r="H15" s="66"/>
      <c r="I15" s="30"/>
      <c r="J15" s="30"/>
      <c r="K15" s="30"/>
      <c r="L15" s="66">
        <v>1</v>
      </c>
      <c r="M15" s="66">
        <v>1</v>
      </c>
      <c r="N15" s="66">
        <v>1</v>
      </c>
      <c r="O15" s="30">
        <v>1</v>
      </c>
      <c r="P15" s="30">
        <v>1</v>
      </c>
      <c r="Q15" s="30">
        <v>1</v>
      </c>
      <c r="R15" s="30">
        <f>+SUM(F15:Q15)</f>
        <v>6</v>
      </c>
      <c r="S15" s="58">
        <v>58000</v>
      </c>
      <c r="T15" s="59">
        <f t="shared" ref="T15" si="0">+S15*R15</f>
        <v>348000</v>
      </c>
    </row>
    <row r="16" spans="2:25" s="45" customFormat="1" x14ac:dyDescent="0.2">
      <c r="B16" s="30">
        <v>6</v>
      </c>
      <c r="C16" s="30" t="s">
        <v>50</v>
      </c>
      <c r="D16" s="39" t="s">
        <v>604</v>
      </c>
      <c r="E16" s="30"/>
      <c r="F16" s="66">
        <v>1</v>
      </c>
      <c r="G16" s="66">
        <v>1</v>
      </c>
      <c r="H16" s="66">
        <v>1</v>
      </c>
      <c r="I16" s="30">
        <v>1</v>
      </c>
      <c r="J16" s="30">
        <v>1</v>
      </c>
      <c r="K16" s="30">
        <v>1</v>
      </c>
      <c r="L16" s="66">
        <v>1</v>
      </c>
      <c r="M16" s="66">
        <v>1</v>
      </c>
      <c r="N16" s="66">
        <v>1</v>
      </c>
      <c r="O16" s="30">
        <v>1</v>
      </c>
      <c r="P16" s="30"/>
      <c r="Q16" s="30"/>
      <c r="R16" s="30">
        <f>+SUM(F16:Q16)</f>
        <v>10</v>
      </c>
      <c r="S16" s="58">
        <f>+T16/R16</f>
        <v>27975.1</v>
      </c>
      <c r="T16" s="59">
        <v>279751</v>
      </c>
    </row>
    <row r="17" spans="2:20" s="45" customFormat="1" x14ac:dyDescent="0.2">
      <c r="B17" s="30"/>
      <c r="C17" s="30"/>
      <c r="D17" s="38"/>
      <c r="E17" s="30"/>
      <c r="F17" s="66"/>
      <c r="G17" s="66"/>
      <c r="H17" s="66"/>
      <c r="I17" s="30"/>
      <c r="J17" s="30"/>
      <c r="K17" s="30"/>
      <c r="L17" s="66"/>
      <c r="M17" s="66"/>
      <c r="N17" s="66"/>
      <c r="O17" s="30"/>
      <c r="P17" s="30"/>
      <c r="Q17" s="57"/>
      <c r="R17" s="30"/>
      <c r="S17" s="58"/>
      <c r="T17" s="59">
        <f t="shared" ref="T17" si="1">+R17*S17</f>
        <v>0</v>
      </c>
    </row>
    <row r="18" spans="2:20" s="45" customFormat="1" x14ac:dyDescent="0.2">
      <c r="B18" s="30"/>
      <c r="C18" s="30"/>
      <c r="D18" s="38"/>
      <c r="E18" s="30"/>
      <c r="F18" s="66"/>
      <c r="G18" s="66"/>
      <c r="H18" s="66"/>
      <c r="I18" s="30"/>
      <c r="J18" s="30"/>
      <c r="K18" s="30"/>
      <c r="L18" s="66"/>
      <c r="M18" s="66"/>
      <c r="N18" s="66"/>
      <c r="O18" s="30"/>
      <c r="P18" s="30"/>
      <c r="Q18" s="57"/>
      <c r="R18" s="30"/>
      <c r="S18" s="58"/>
      <c r="T18" s="59">
        <f t="shared" ref="T18:T19" si="2">+S18*R18</f>
        <v>0</v>
      </c>
    </row>
    <row r="19" spans="2:20" s="45" customFormat="1" x14ac:dyDescent="0.2">
      <c r="B19" s="30"/>
      <c r="C19" s="30"/>
      <c r="D19" s="38"/>
      <c r="E19" s="30"/>
      <c r="F19" s="66"/>
      <c r="G19" s="66"/>
      <c r="H19" s="66"/>
      <c r="I19" s="30"/>
      <c r="J19" s="30"/>
      <c r="K19" s="30"/>
      <c r="L19" s="66"/>
      <c r="M19" s="66"/>
      <c r="N19" s="66"/>
      <c r="O19" s="30"/>
      <c r="P19" s="30"/>
      <c r="Q19" s="57"/>
      <c r="R19" s="30"/>
      <c r="S19" s="58"/>
      <c r="T19" s="59">
        <f t="shared" si="2"/>
        <v>0</v>
      </c>
    </row>
    <row r="20" spans="2:20" s="45" customFormat="1" x14ac:dyDescent="0.2">
      <c r="B20" s="30"/>
      <c r="C20" s="30"/>
      <c r="D20" s="38"/>
      <c r="E20" s="30"/>
      <c r="F20" s="66"/>
      <c r="G20" s="66"/>
      <c r="H20" s="66"/>
      <c r="I20" s="30"/>
      <c r="J20" s="30"/>
      <c r="K20" s="30"/>
      <c r="L20" s="66"/>
      <c r="M20" s="66"/>
      <c r="N20" s="66"/>
      <c r="O20" s="30"/>
      <c r="P20" s="30"/>
      <c r="Q20" s="57"/>
      <c r="R20" s="30"/>
      <c r="S20" s="58"/>
      <c r="T20" s="59">
        <f t="shared" ref="T20" si="3">+R20*S20</f>
        <v>0</v>
      </c>
    </row>
    <row r="21" spans="2:20" s="45" customFormat="1" x14ac:dyDescent="0.2">
      <c r="B21" s="30"/>
      <c r="C21" s="30"/>
      <c r="D21" s="38"/>
      <c r="E21" s="30"/>
      <c r="F21" s="66"/>
      <c r="G21" s="66"/>
      <c r="H21" s="66"/>
      <c r="I21" s="30"/>
      <c r="J21" s="30"/>
      <c r="K21" s="30"/>
      <c r="L21" s="66"/>
      <c r="M21" s="66"/>
      <c r="N21" s="66"/>
      <c r="O21" s="30"/>
      <c r="P21" s="30"/>
      <c r="Q21" s="57"/>
      <c r="R21" s="30"/>
      <c r="S21" s="58"/>
      <c r="T21" s="59">
        <f t="shared" ref="T21:T22" si="4">+S21*R21</f>
        <v>0</v>
      </c>
    </row>
    <row r="22" spans="2:20" s="45" customFormat="1" x14ac:dyDescent="0.2">
      <c r="B22" s="30"/>
      <c r="C22" s="30"/>
      <c r="D22" s="38"/>
      <c r="E22" s="30"/>
      <c r="F22" s="66"/>
      <c r="G22" s="66"/>
      <c r="H22" s="66"/>
      <c r="I22" s="30"/>
      <c r="J22" s="30"/>
      <c r="K22" s="30"/>
      <c r="L22" s="66"/>
      <c r="M22" s="66"/>
      <c r="N22" s="66"/>
      <c r="O22" s="30"/>
      <c r="P22" s="30"/>
      <c r="Q22" s="57"/>
      <c r="R22" s="30"/>
      <c r="S22" s="58"/>
      <c r="T22" s="59">
        <f t="shared" si="4"/>
        <v>0</v>
      </c>
    </row>
    <row r="23" spans="2:20" s="45" customFormat="1" x14ac:dyDescent="0.2">
      <c r="B23" s="30"/>
      <c r="C23" s="30"/>
      <c r="D23" s="39"/>
      <c r="E23" s="30"/>
      <c r="F23" s="66"/>
      <c r="G23" s="66"/>
      <c r="H23" s="66"/>
      <c r="I23" s="30"/>
      <c r="J23" s="30"/>
      <c r="K23" s="30"/>
      <c r="L23" s="66"/>
      <c r="M23" s="66"/>
      <c r="N23" s="66"/>
      <c r="O23" s="30"/>
      <c r="P23" s="30"/>
      <c r="Q23" s="57"/>
      <c r="R23" s="30"/>
      <c r="S23" s="58"/>
      <c r="T23" s="59">
        <f t="shared" ref="T23" si="5">+R23*S23</f>
        <v>0</v>
      </c>
    </row>
    <row r="24" spans="2:20" s="45" customFormat="1" x14ac:dyDescent="0.2">
      <c r="B24" s="30"/>
      <c r="C24" s="30"/>
      <c r="D24" s="38"/>
      <c r="E24" s="30"/>
      <c r="F24" s="66"/>
      <c r="G24" s="66"/>
      <c r="H24" s="66"/>
      <c r="I24" s="30"/>
      <c r="J24" s="30"/>
      <c r="K24" s="30"/>
      <c r="L24" s="66"/>
      <c r="M24" s="66"/>
      <c r="N24" s="66"/>
      <c r="O24" s="30"/>
      <c r="P24" s="30"/>
      <c r="Q24" s="57"/>
      <c r="R24" s="30"/>
      <c r="S24" s="58"/>
      <c r="T24" s="59">
        <f t="shared" ref="T24:T25" si="6">+S24*R24</f>
        <v>0</v>
      </c>
    </row>
    <row r="25" spans="2:20" s="45" customFormat="1" x14ac:dyDescent="0.2">
      <c r="B25" s="30"/>
      <c r="C25" s="30"/>
      <c r="D25" s="38"/>
      <c r="E25" s="30"/>
      <c r="F25" s="66"/>
      <c r="G25" s="66"/>
      <c r="H25" s="66"/>
      <c r="I25" s="30"/>
      <c r="J25" s="30"/>
      <c r="K25" s="30"/>
      <c r="L25" s="66"/>
      <c r="M25" s="66"/>
      <c r="N25" s="66"/>
      <c r="O25" s="30"/>
      <c r="P25" s="30"/>
      <c r="Q25" s="57"/>
      <c r="R25" s="30"/>
      <c r="S25" s="58"/>
      <c r="T25" s="59">
        <f t="shared" si="6"/>
        <v>0</v>
      </c>
    </row>
    <row r="26" spans="2:20" s="45" customFormat="1" x14ac:dyDescent="0.2">
      <c r="B26" s="30"/>
      <c r="C26" s="30"/>
      <c r="D26" s="38"/>
      <c r="E26" s="30"/>
      <c r="F26" s="66"/>
      <c r="G26" s="66"/>
      <c r="H26" s="66"/>
      <c r="I26" s="30"/>
      <c r="J26" s="30"/>
      <c r="K26" s="30"/>
      <c r="L26" s="66"/>
      <c r="M26" s="66"/>
      <c r="N26" s="66"/>
      <c r="O26" s="30"/>
      <c r="P26" s="30"/>
      <c r="Q26" s="57"/>
      <c r="R26" s="30"/>
      <c r="S26" s="58"/>
      <c r="T26" s="59">
        <f t="shared" ref="T26" si="7">+R26*S26</f>
        <v>0</v>
      </c>
    </row>
    <row r="27" spans="2:20" s="45" customFormat="1" x14ac:dyDescent="0.2">
      <c r="B27" s="30"/>
      <c r="C27" s="30"/>
      <c r="D27" s="38"/>
      <c r="E27" s="30"/>
      <c r="F27" s="66"/>
      <c r="G27" s="66"/>
      <c r="H27" s="66"/>
      <c r="I27" s="30"/>
      <c r="J27" s="30"/>
      <c r="K27" s="30"/>
      <c r="L27" s="66"/>
      <c r="M27" s="66"/>
      <c r="N27" s="66"/>
      <c r="O27" s="30"/>
      <c r="P27" s="30"/>
      <c r="Q27" s="57"/>
      <c r="R27" s="30"/>
      <c r="S27" s="58"/>
      <c r="T27" s="59">
        <f t="shared" ref="T27:T28" si="8">+S27*R27</f>
        <v>0</v>
      </c>
    </row>
    <row r="28" spans="2:20" s="45" customFormat="1" x14ac:dyDescent="0.2">
      <c r="B28" s="30"/>
      <c r="C28" s="30"/>
      <c r="D28" s="38"/>
      <c r="E28" s="30"/>
      <c r="F28" s="66"/>
      <c r="G28" s="66"/>
      <c r="H28" s="66"/>
      <c r="I28" s="30"/>
      <c r="J28" s="30"/>
      <c r="K28" s="30"/>
      <c r="L28" s="66"/>
      <c r="M28" s="66"/>
      <c r="N28" s="66"/>
      <c r="O28" s="30"/>
      <c r="P28" s="30"/>
      <c r="Q28" s="57"/>
      <c r="R28" s="30"/>
      <c r="S28" s="58"/>
      <c r="T28" s="59">
        <f t="shared" si="8"/>
        <v>0</v>
      </c>
    </row>
    <row r="29" spans="2:20" s="45" customFormat="1" x14ac:dyDescent="0.2">
      <c r="B29" s="30"/>
      <c r="C29" s="30"/>
      <c r="D29" s="38"/>
      <c r="E29" s="30"/>
      <c r="F29" s="66"/>
      <c r="G29" s="66"/>
      <c r="H29" s="66"/>
      <c r="I29" s="30"/>
      <c r="J29" s="30"/>
      <c r="K29" s="30"/>
      <c r="L29" s="66"/>
      <c r="M29" s="66"/>
      <c r="N29" s="66"/>
      <c r="O29" s="30"/>
      <c r="P29" s="30"/>
      <c r="Q29" s="57"/>
      <c r="R29" s="30"/>
      <c r="S29" s="58"/>
      <c r="T29" s="59">
        <f t="shared" ref="T29" si="9">+R29*S29</f>
        <v>0</v>
      </c>
    </row>
    <row r="30" spans="2:20" s="45" customFormat="1" x14ac:dyDescent="0.2">
      <c r="B30" s="30"/>
      <c r="C30" s="30"/>
      <c r="D30" s="38"/>
      <c r="E30" s="30"/>
      <c r="F30" s="66"/>
      <c r="G30" s="66"/>
      <c r="H30" s="66"/>
      <c r="I30" s="30"/>
      <c r="J30" s="30"/>
      <c r="K30" s="30"/>
      <c r="L30" s="66"/>
      <c r="M30" s="66"/>
      <c r="N30" s="66"/>
      <c r="O30" s="30"/>
      <c r="P30" s="30"/>
      <c r="Q30" s="57"/>
      <c r="R30" s="30"/>
      <c r="S30" s="58"/>
      <c r="T30" s="59">
        <f t="shared" ref="T30:T31" si="10">+S30*R30</f>
        <v>0</v>
      </c>
    </row>
    <row r="31" spans="2:20" s="45" customFormat="1" x14ac:dyDescent="0.2">
      <c r="B31" s="30"/>
      <c r="C31" s="30"/>
      <c r="D31" s="38"/>
      <c r="E31" s="30"/>
      <c r="F31" s="66"/>
      <c r="G31" s="66"/>
      <c r="H31" s="66"/>
      <c r="I31" s="30"/>
      <c r="J31" s="30"/>
      <c r="K31" s="30"/>
      <c r="L31" s="66"/>
      <c r="M31" s="66"/>
      <c r="N31" s="66"/>
      <c r="O31" s="30"/>
      <c r="P31" s="30"/>
      <c r="Q31" s="57"/>
      <c r="R31" s="30"/>
      <c r="S31" s="58"/>
      <c r="T31" s="59">
        <f t="shared" si="10"/>
        <v>0</v>
      </c>
    </row>
    <row r="32" spans="2:20" x14ac:dyDescent="0.2">
      <c r="B32" s="30"/>
      <c r="C32" s="30"/>
      <c r="D32" s="31"/>
      <c r="E32" s="30"/>
      <c r="F32" s="73"/>
      <c r="G32" s="66"/>
      <c r="H32" s="73"/>
      <c r="I32" s="7"/>
      <c r="J32" s="7"/>
      <c r="K32" s="8"/>
      <c r="L32" s="73"/>
      <c r="M32" s="74"/>
      <c r="N32" s="73"/>
      <c r="O32" s="8"/>
      <c r="P32" s="8"/>
      <c r="Q32" s="8"/>
      <c r="R32" s="7"/>
      <c r="S32" s="9"/>
      <c r="T32" s="34"/>
    </row>
    <row r="33" spans="2:20" ht="13.5" thickBot="1" x14ac:dyDescent="0.25">
      <c r="B33" s="16"/>
      <c r="C33" s="17"/>
      <c r="D33" s="17"/>
      <c r="E33" s="17"/>
      <c r="F33" s="75"/>
      <c r="G33" s="76"/>
      <c r="H33" s="75"/>
      <c r="I33" s="17"/>
      <c r="J33" s="17"/>
      <c r="K33" s="18"/>
      <c r="L33" s="75"/>
      <c r="M33" s="76"/>
      <c r="N33" s="75"/>
      <c r="O33" s="18"/>
      <c r="P33" s="18"/>
      <c r="Q33" s="18"/>
      <c r="R33" s="17"/>
      <c r="S33" s="19"/>
      <c r="T33" s="20"/>
    </row>
    <row r="34" spans="2:20" x14ac:dyDescent="0.2">
      <c r="B34" s="13"/>
      <c r="C34" s="13"/>
      <c r="D34" s="1"/>
      <c r="E34" s="13"/>
      <c r="F34" s="13"/>
      <c r="G34" s="1"/>
      <c r="H34" s="13"/>
      <c r="I34" s="13"/>
      <c r="J34" s="1"/>
      <c r="K34" s="1"/>
      <c r="L34" s="1"/>
      <c r="M34" s="1"/>
      <c r="N34" s="1"/>
      <c r="O34" s="1"/>
      <c r="P34" s="1"/>
      <c r="Q34" s="1"/>
      <c r="R34" s="1"/>
      <c r="S34" s="11" t="s">
        <v>18</v>
      </c>
      <c r="T34" s="26">
        <f>+SUM(T11:T33)*0.16</f>
        <v>193795.56480000002</v>
      </c>
    </row>
    <row r="35" spans="2:20" x14ac:dyDescent="0.2">
      <c r="B35" s="13"/>
      <c r="C35" s="13"/>
      <c r="D35" s="1"/>
      <c r="E35" s="13"/>
      <c r="F35" s="13"/>
      <c r="G35" s="1"/>
      <c r="H35" s="13"/>
      <c r="I35" s="13"/>
      <c r="J35" s="1"/>
      <c r="K35" s="1"/>
      <c r="L35" s="1"/>
      <c r="M35" s="1"/>
      <c r="N35" s="1"/>
      <c r="O35" s="1"/>
      <c r="P35" s="1"/>
      <c r="Q35" s="1"/>
      <c r="R35" s="1"/>
      <c r="S35" s="27" t="s">
        <v>17</v>
      </c>
      <c r="T35" s="28">
        <f>SUM(T11:T34)</f>
        <v>1405017.8448000001</v>
      </c>
    </row>
    <row r="36" spans="2:20" x14ac:dyDescent="0.2">
      <c r="B36" s="13"/>
      <c r="C36" s="13"/>
      <c r="D36" s="1"/>
      <c r="E36" s="13"/>
      <c r="F36" s="13"/>
      <c r="G36" s="1"/>
      <c r="H36" s="13"/>
      <c r="I36" s="13"/>
      <c r="J36" s="1"/>
      <c r="K36" s="1"/>
      <c r="L36" s="1"/>
      <c r="M36" s="1"/>
      <c r="N36" s="1"/>
      <c r="O36" s="1"/>
      <c r="P36" s="1"/>
      <c r="Q36" s="1"/>
      <c r="R36" s="1"/>
      <c r="S36" s="11"/>
      <c r="T36" s="11"/>
    </row>
    <row r="37" spans="2:20" x14ac:dyDescent="0.2">
      <c r="B37" s="1"/>
      <c r="C37" s="1"/>
      <c r="D37" s="1"/>
      <c r="E37" s="1"/>
      <c r="F37" s="13"/>
      <c r="G37" s="1"/>
      <c r="H37" s="13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2"/>
    </row>
    <row r="38" spans="2:20" x14ac:dyDescent="0.2">
      <c r="B38" s="1"/>
      <c r="C38" s="1"/>
      <c r="D38" s="1"/>
      <c r="E38" s="1"/>
      <c r="F38" s="13"/>
      <c r="G38" s="1"/>
      <c r="H38" s="13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">
      <c r="B39" s="29"/>
      <c r="C39" s="29"/>
      <c r="D39" s="29"/>
      <c r="E39" s="29"/>
      <c r="F39" s="42"/>
      <c r="G39" s="29"/>
      <c r="H39" s="42"/>
      <c r="I39" s="42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2:20" x14ac:dyDescent="0.2">
      <c r="B40" s="29"/>
      <c r="C40" s="29"/>
      <c r="D40" s="29"/>
      <c r="E40" s="29"/>
      <c r="F40" s="42"/>
      <c r="G40" s="29"/>
      <c r="H40" s="42"/>
      <c r="I40" s="42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10" zoomScale="115" zoomScaleNormal="115" workbookViewId="0">
      <selection activeCell="D18" sqref="D1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152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153</v>
      </c>
      <c r="E11" s="33" t="s">
        <v>138</v>
      </c>
      <c r="F11" s="66"/>
      <c r="G11" s="66">
        <v>2</v>
      </c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2</v>
      </c>
      <c r="S11" s="55">
        <f>156.89+591.31</f>
        <v>748.19999999999993</v>
      </c>
      <c r="T11" s="56">
        <f>S11*R11</f>
        <v>1496.3999999999999</v>
      </c>
    </row>
    <row r="12" spans="2:25" s="45" customFormat="1" x14ac:dyDescent="0.2">
      <c r="B12" s="30">
        <v>2</v>
      </c>
      <c r="C12" s="30" t="s">
        <v>50</v>
      </c>
      <c r="D12" s="36" t="s">
        <v>153</v>
      </c>
      <c r="E12" s="33" t="s">
        <v>138</v>
      </c>
      <c r="F12" s="66"/>
      <c r="G12" s="66"/>
      <c r="H12" s="66">
        <v>4</v>
      </c>
      <c r="I12" s="30"/>
      <c r="J12" s="30"/>
      <c r="K12" s="57"/>
      <c r="L12" s="66">
        <v>2</v>
      </c>
      <c r="M12" s="66"/>
      <c r="N12" s="66">
        <v>4</v>
      </c>
      <c r="O12" s="30"/>
      <c r="P12" s="57"/>
      <c r="Q12" s="57"/>
      <c r="R12" s="30">
        <f>+SUM(F12:Q12)</f>
        <v>10</v>
      </c>
      <c r="S12" s="58"/>
      <c r="T12" s="59">
        <f>2691.7+2691.7+1420+3264.22+7192+8144.94+8400+8533.25+1165.22</f>
        <v>43503.03</v>
      </c>
    </row>
    <row r="13" spans="2:25" s="45" customFormat="1" x14ac:dyDescent="0.2">
      <c r="B13" s="30">
        <v>3</v>
      </c>
      <c r="C13" s="30" t="s">
        <v>50</v>
      </c>
      <c r="D13" s="36" t="s">
        <v>153</v>
      </c>
      <c r="E13" s="33" t="s">
        <v>138</v>
      </c>
      <c r="F13" s="66"/>
      <c r="G13" s="66"/>
      <c r="H13" s="66"/>
      <c r="I13" s="30">
        <v>2</v>
      </c>
      <c r="J13" s="30">
        <v>3</v>
      </c>
      <c r="K13" s="57"/>
      <c r="L13" s="66"/>
      <c r="M13" s="66"/>
      <c r="N13" s="66">
        <v>2</v>
      </c>
      <c r="O13" s="30">
        <v>3</v>
      </c>
      <c r="P13" s="57">
        <v>3</v>
      </c>
      <c r="Q13" s="57">
        <v>3</v>
      </c>
      <c r="R13" s="30">
        <f>+SUM(F13:Q13)</f>
        <v>16</v>
      </c>
      <c r="S13" s="58"/>
      <c r="T13" s="59">
        <f>2852.15+1202.92+3623.84+1829.03+1353.43+5600+2066.54+805.33+45000</f>
        <v>64333.240000000005</v>
      </c>
    </row>
    <row r="14" spans="2:25" s="45" customFormat="1" ht="13.5" thickBot="1" x14ac:dyDescent="0.25">
      <c r="B14" s="30">
        <v>4</v>
      </c>
      <c r="C14" s="30" t="s">
        <v>50</v>
      </c>
      <c r="D14" s="213" t="s">
        <v>739</v>
      </c>
      <c r="E14" s="207" t="s">
        <v>505</v>
      </c>
      <c r="F14" s="7">
        <v>1</v>
      </c>
      <c r="G14" s="7">
        <v>1</v>
      </c>
      <c r="H14" s="7">
        <v>1</v>
      </c>
      <c r="I14" s="214">
        <v>1</v>
      </c>
      <c r="J14" s="215">
        <v>1</v>
      </c>
      <c r="K14" s="214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f t="shared" ref="R14" si="0">SUM(F14:Q14)</f>
        <v>12</v>
      </c>
      <c r="S14" s="209">
        <v>850</v>
      </c>
      <c r="T14" s="15">
        <f>+R14*S14</f>
        <v>10200</v>
      </c>
    </row>
    <row r="15" spans="2:25" s="45" customFormat="1" x14ac:dyDescent="0.2">
      <c r="B15" s="30">
        <v>5</v>
      </c>
      <c r="C15" s="30" t="s">
        <v>50</v>
      </c>
      <c r="D15" s="285" t="s">
        <v>772</v>
      </c>
      <c r="E15" s="244" t="s">
        <v>786</v>
      </c>
      <c r="F15" s="135">
        <v>1</v>
      </c>
      <c r="G15" s="135">
        <v>1</v>
      </c>
      <c r="H15" s="135">
        <v>1</v>
      </c>
      <c r="I15" s="135">
        <v>1</v>
      </c>
      <c r="J15" s="135">
        <v>1</v>
      </c>
      <c r="K15" s="135">
        <v>1</v>
      </c>
      <c r="L15" s="135">
        <v>1</v>
      </c>
      <c r="M15" s="135">
        <v>1</v>
      </c>
      <c r="N15" s="135">
        <v>1</v>
      </c>
      <c r="O15" s="135">
        <v>1</v>
      </c>
      <c r="P15" s="135">
        <v>1</v>
      </c>
      <c r="Q15" s="135">
        <v>1</v>
      </c>
      <c r="R15" s="219">
        <f>SUM(F15:Q15)</f>
        <v>12</v>
      </c>
      <c r="S15" s="286">
        <v>1436.7815000000001</v>
      </c>
      <c r="T15" s="238">
        <f>S15*R15</f>
        <v>17241.378000000001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ref="R16:R24" si="1">+SUM(F16:Q16)</f>
        <v>0</v>
      </c>
      <c r="S16" s="58"/>
      <c r="T16" s="59">
        <f t="shared" ref="T16:T24" si="2">+S16*R16</f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21883.847680000003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158657.89568000002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zoomScale="115" zoomScaleNormal="115" workbookViewId="0">
      <selection activeCell="D12" sqref="D12:T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287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288</v>
      </c>
      <c r="E11" s="33" t="s">
        <v>289</v>
      </c>
      <c r="F11" s="66"/>
      <c r="G11" s="66"/>
      <c r="H11" s="66"/>
      <c r="I11" s="30">
        <v>5</v>
      </c>
      <c r="J11" s="53"/>
      <c r="K11" s="54"/>
      <c r="L11" s="69"/>
      <c r="M11" s="69"/>
      <c r="N11" s="69"/>
      <c r="O11" s="53">
        <v>1</v>
      </c>
      <c r="P11" s="54">
        <v>1</v>
      </c>
      <c r="Q11" s="54">
        <v>1</v>
      </c>
      <c r="R11" s="53">
        <f>SUM(F11:Q11)</f>
        <v>8</v>
      </c>
      <c r="S11" s="55">
        <v>1200</v>
      </c>
      <c r="T11" s="56">
        <f>+R11*S11</f>
        <v>9600</v>
      </c>
    </row>
    <row r="12" spans="2:25" s="45" customFormat="1" x14ac:dyDescent="0.2">
      <c r="B12" s="30"/>
      <c r="C12" s="30"/>
      <c r="D12" s="224" t="s">
        <v>772</v>
      </c>
      <c r="E12" s="30" t="s">
        <v>52</v>
      </c>
      <c r="F12" s="66">
        <v>1</v>
      </c>
      <c r="G12" s="66">
        <v>1</v>
      </c>
      <c r="H12" s="66">
        <v>1</v>
      </c>
      <c r="I12" s="30">
        <v>1</v>
      </c>
      <c r="J12" s="30">
        <v>1</v>
      </c>
      <c r="K12" s="30">
        <v>1</v>
      </c>
      <c r="L12" s="66">
        <v>1</v>
      </c>
      <c r="M12" s="70">
        <v>1</v>
      </c>
      <c r="N12" s="66">
        <v>1</v>
      </c>
      <c r="O12" s="30">
        <v>1</v>
      </c>
      <c r="P12" s="57">
        <v>1</v>
      </c>
      <c r="Q12" s="57">
        <v>1</v>
      </c>
      <c r="R12" s="30">
        <f t="shared" ref="R12" si="0">+SUM(F12:Q12)</f>
        <v>12</v>
      </c>
      <c r="S12" s="95">
        <v>2873.56</v>
      </c>
      <c r="T12" s="59">
        <f>S12*R12</f>
        <v>34482.720000000001</v>
      </c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0</v>
      </c>
      <c r="S13" s="58"/>
      <c r="T13" s="59">
        <f>+S13*R13</f>
        <v>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1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1"/>
        <v>0</v>
      </c>
      <c r="S15" s="58"/>
      <c r="T15" s="59">
        <f t="shared" ref="T15:T24" si="2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1"/>
        <v>0</v>
      </c>
      <c r="S16" s="58"/>
      <c r="T16" s="59">
        <f t="shared" si="2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7053.2352000000001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51135.955200000004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C10" zoomScale="115" zoomScaleNormal="115" workbookViewId="0">
      <selection activeCell="D17" sqref="D1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285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286</v>
      </c>
      <c r="E11" s="33" t="s">
        <v>140</v>
      </c>
      <c r="F11" s="66"/>
      <c r="G11" s="66"/>
      <c r="H11" s="66">
        <v>1</v>
      </c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</v>
      </c>
      <c r="S11" s="55">
        <v>10000</v>
      </c>
      <c r="T11" s="56">
        <f>+R11*S11</f>
        <v>10000</v>
      </c>
    </row>
    <row r="12" spans="2:25" s="45" customFormat="1" ht="33.75" x14ac:dyDescent="0.2">
      <c r="B12" s="30"/>
      <c r="C12" s="30"/>
      <c r="D12" s="216" t="s">
        <v>740</v>
      </c>
      <c r="E12" s="207" t="s">
        <v>505</v>
      </c>
      <c r="F12" s="7"/>
      <c r="G12" s="7"/>
      <c r="H12" s="7"/>
      <c r="I12" s="214">
        <v>1</v>
      </c>
      <c r="J12" s="215"/>
      <c r="K12" s="214"/>
      <c r="L12" s="7"/>
      <c r="M12" s="7"/>
      <c r="N12" s="7"/>
      <c r="O12" s="7"/>
      <c r="P12" s="7"/>
      <c r="Q12" s="7"/>
      <c r="R12" s="7">
        <f t="shared" ref="R12" si="0">SUM(F12:Q12)</f>
        <v>1</v>
      </c>
      <c r="S12" s="209">
        <v>80000</v>
      </c>
      <c r="T12" s="15">
        <f>+R12*S12</f>
        <v>80000</v>
      </c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0</v>
      </c>
      <c r="S13" s="58"/>
      <c r="T13" s="59">
        <f>+S13*R13</f>
        <v>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1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1"/>
        <v>0</v>
      </c>
      <c r="S15" s="58"/>
      <c r="T15" s="59">
        <f t="shared" ref="T15:T24" si="2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1"/>
        <v>0</v>
      </c>
      <c r="S16" s="58"/>
      <c r="T16" s="59">
        <f t="shared" si="2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+SUM(T11:T24)*0.16</f>
        <v>14400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104400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T49" sqref="T49"/>
    </sheetView>
  </sheetViews>
  <sheetFormatPr baseColWidth="10" defaultRowHeight="12.75" x14ac:dyDescent="0.2"/>
  <cols>
    <col min="4" max="4" width="33.85546875" customWidth="1"/>
    <col min="6" max="17" width="9.28515625" customWidth="1"/>
    <col min="20" max="20" width="13.285156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555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556</v>
      </c>
      <c r="E11" s="135" t="s">
        <v>557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4">
        <v>56428</v>
      </c>
      <c r="Q11" s="134"/>
      <c r="R11" s="135">
        <v>56428</v>
      </c>
      <c r="S11" s="153">
        <v>26.5</v>
      </c>
      <c r="T11" s="138">
        <f>S11*R11</f>
        <v>1495342</v>
      </c>
    </row>
    <row r="12" spans="1:20" ht="13.5" thickBot="1" x14ac:dyDescent="0.25">
      <c r="B12" s="14"/>
      <c r="C12" s="135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38"/>
    </row>
    <row r="13" spans="1:20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0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1495342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/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</f>
        <v>1495342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48"/>
  <sheetViews>
    <sheetView topLeftCell="E1" zoomScale="85" zoomScaleNormal="85" workbookViewId="0">
      <selection activeCell="W25" sqref="W2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customWidth="1"/>
    <col min="7" max="7" width="9" customWidth="1"/>
    <col min="8" max="8" width="9.7109375" customWidth="1"/>
    <col min="9" max="9" width="8.42578125" style="4" customWidth="1"/>
    <col min="10" max="10" width="11.42578125" customWidth="1"/>
    <col min="11" max="11" width="8.7109375" customWidth="1"/>
    <col min="12" max="12" width="9.140625" customWidth="1"/>
    <col min="13" max="13" width="10" customWidth="1"/>
    <col min="14" max="14" width="12.140625" customWidth="1"/>
    <col min="15" max="15" width="10.85546875" style="4" customWidth="1"/>
    <col min="16" max="16" width="11.140625" customWidth="1"/>
    <col min="17" max="17" width="11.5703125" customWidth="1"/>
    <col min="18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93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s="45" customFormat="1" ht="29.25" customHeight="1" thickBot="1" x14ac:dyDescent="0.25">
      <c r="B10" s="47" t="s">
        <v>0</v>
      </c>
      <c r="C10" s="48" t="s">
        <v>2</v>
      </c>
      <c r="D10" s="48" t="s">
        <v>4</v>
      </c>
      <c r="E10" s="48" t="s">
        <v>3</v>
      </c>
      <c r="F10" s="49" t="s">
        <v>5</v>
      </c>
      <c r="G10" s="49" t="s">
        <v>6</v>
      </c>
      <c r="H10" s="49" t="s">
        <v>7</v>
      </c>
      <c r="I10" s="49" t="s">
        <v>8</v>
      </c>
      <c r="J10" s="48" t="s">
        <v>9</v>
      </c>
      <c r="K10" s="48" t="s">
        <v>10</v>
      </c>
      <c r="L10" s="49" t="s">
        <v>11</v>
      </c>
      <c r="M10" s="48" t="s">
        <v>12</v>
      </c>
      <c r="N10" s="48" t="s">
        <v>13</v>
      </c>
      <c r="O10" s="49" t="s">
        <v>14</v>
      </c>
      <c r="P10" s="49" t="s">
        <v>15</v>
      </c>
      <c r="Q10" s="49" t="s">
        <v>16</v>
      </c>
      <c r="R10" s="48" t="s">
        <v>1</v>
      </c>
      <c r="S10" s="50" t="s">
        <v>20</v>
      </c>
      <c r="T10" s="51" t="s">
        <v>25</v>
      </c>
    </row>
    <row r="11" spans="2:25" s="45" customFormat="1" x14ac:dyDescent="0.2">
      <c r="B11" s="30">
        <v>1</v>
      </c>
      <c r="C11" s="30">
        <v>21401</v>
      </c>
      <c r="D11" s="35" t="s">
        <v>312</v>
      </c>
      <c r="E11" s="30" t="s">
        <v>52</v>
      </c>
      <c r="F11" s="66">
        <v>3</v>
      </c>
      <c r="G11" s="66"/>
      <c r="H11" s="66"/>
      <c r="I11" s="30"/>
      <c r="J11" s="53"/>
      <c r="K11" s="54"/>
      <c r="L11" s="69"/>
      <c r="M11" s="68"/>
      <c r="N11" s="69"/>
      <c r="O11" s="53"/>
      <c r="P11" s="54"/>
      <c r="Q11" s="54"/>
      <c r="R11" s="53">
        <f>SUM(F11:Q11)</f>
        <v>3</v>
      </c>
      <c r="S11" s="55">
        <v>551.20000000000005</v>
      </c>
      <c r="T11" s="56">
        <f>S11*R11</f>
        <v>1653.6000000000001</v>
      </c>
    </row>
    <row r="12" spans="2:25" s="45" customFormat="1" x14ac:dyDescent="0.2">
      <c r="B12" s="30">
        <v>2</v>
      </c>
      <c r="C12" s="30">
        <v>21401</v>
      </c>
      <c r="D12" s="35" t="s">
        <v>313</v>
      </c>
      <c r="E12" s="30" t="s">
        <v>52</v>
      </c>
      <c r="F12" s="66">
        <v>3</v>
      </c>
      <c r="G12" s="66"/>
      <c r="H12" s="66"/>
      <c r="I12" s="30"/>
      <c r="J12" s="30"/>
      <c r="K12" s="57"/>
      <c r="L12" s="66"/>
      <c r="M12" s="70"/>
      <c r="N12" s="66"/>
      <c r="O12" s="30"/>
      <c r="P12" s="57"/>
      <c r="Q12" s="57"/>
      <c r="R12" s="30">
        <f>+SUM(F12:Q12)</f>
        <v>3</v>
      </c>
      <c r="S12" s="58">
        <v>358.8</v>
      </c>
      <c r="T12" s="59">
        <f>+S12*R12</f>
        <v>1076.4000000000001</v>
      </c>
    </row>
    <row r="13" spans="2:25" s="45" customFormat="1" x14ac:dyDescent="0.2">
      <c r="B13" s="30">
        <v>3</v>
      </c>
      <c r="C13" s="30">
        <v>21401</v>
      </c>
      <c r="D13" s="35" t="s">
        <v>314</v>
      </c>
      <c r="E13" s="30" t="s">
        <v>52</v>
      </c>
      <c r="F13" s="66"/>
      <c r="G13" s="66"/>
      <c r="H13" s="66">
        <v>4</v>
      </c>
      <c r="I13" s="30"/>
      <c r="J13" s="30"/>
      <c r="K13" s="57"/>
      <c r="L13" s="66"/>
      <c r="M13" s="70"/>
      <c r="N13" s="66"/>
      <c r="O13" s="30"/>
      <c r="P13" s="57"/>
      <c r="Q13" s="57"/>
      <c r="R13" s="30">
        <f>+SUM(F13:Q13)</f>
        <v>4</v>
      </c>
      <c r="S13" s="58">
        <v>270.39999999999998</v>
      </c>
      <c r="T13" s="59">
        <f>+S13*R13</f>
        <v>1081.5999999999999</v>
      </c>
    </row>
    <row r="14" spans="2:25" s="45" customFormat="1" x14ac:dyDescent="0.2">
      <c r="B14" s="30">
        <v>4</v>
      </c>
      <c r="C14" s="30">
        <v>21401</v>
      </c>
      <c r="D14" s="35" t="s">
        <v>315</v>
      </c>
      <c r="E14" s="30" t="s">
        <v>52</v>
      </c>
      <c r="F14" s="66"/>
      <c r="G14" s="66"/>
      <c r="H14" s="66">
        <v>3</v>
      </c>
      <c r="I14" s="30"/>
      <c r="J14" s="30"/>
      <c r="K14" s="57"/>
      <c r="L14" s="66"/>
      <c r="M14" s="70"/>
      <c r="N14" s="66"/>
      <c r="O14" s="30"/>
      <c r="P14" s="57"/>
      <c r="Q14" s="57"/>
      <c r="R14" s="30">
        <f t="shared" ref="R14:R17" si="0">+SUM(F14:Q14)</f>
        <v>3</v>
      </c>
      <c r="S14" s="58">
        <v>405.6</v>
      </c>
      <c r="T14" s="59">
        <f>+S14*R14</f>
        <v>1216.8000000000002</v>
      </c>
    </row>
    <row r="15" spans="2:25" s="45" customFormat="1" x14ac:dyDescent="0.2">
      <c r="B15" s="30">
        <v>5</v>
      </c>
      <c r="C15" s="30">
        <v>21401</v>
      </c>
      <c r="D15" s="35" t="s">
        <v>316</v>
      </c>
      <c r="E15" s="30" t="s">
        <v>52</v>
      </c>
      <c r="F15" s="66"/>
      <c r="G15" s="66"/>
      <c r="H15" s="66">
        <v>3</v>
      </c>
      <c r="I15" s="30"/>
      <c r="J15" s="30"/>
      <c r="K15" s="57"/>
      <c r="L15" s="66"/>
      <c r="M15" s="70"/>
      <c r="N15" s="66"/>
      <c r="O15" s="30"/>
      <c r="P15" s="57"/>
      <c r="Q15" s="57"/>
      <c r="R15" s="30">
        <f t="shared" si="0"/>
        <v>3</v>
      </c>
      <c r="S15" s="58">
        <v>988</v>
      </c>
      <c r="T15" s="59">
        <f t="shared" ref="T15:T17" si="1">+S15*R15</f>
        <v>2964</v>
      </c>
    </row>
    <row r="16" spans="2:25" s="45" customFormat="1" ht="25.5" x14ac:dyDescent="0.2">
      <c r="B16" s="30">
        <v>6</v>
      </c>
      <c r="C16" s="30">
        <v>21401</v>
      </c>
      <c r="D16" s="36" t="s">
        <v>317</v>
      </c>
      <c r="E16" s="33" t="s">
        <v>52</v>
      </c>
      <c r="F16" s="66"/>
      <c r="G16" s="66"/>
      <c r="H16" s="66">
        <v>1</v>
      </c>
      <c r="I16" s="30"/>
      <c r="J16" s="30"/>
      <c r="K16" s="57"/>
      <c r="L16" s="66"/>
      <c r="M16" s="70"/>
      <c r="N16" s="66"/>
      <c r="O16" s="30"/>
      <c r="P16" s="57"/>
      <c r="Q16" s="57"/>
      <c r="R16" s="30">
        <f t="shared" si="0"/>
        <v>1</v>
      </c>
      <c r="S16" s="58">
        <v>1092</v>
      </c>
      <c r="T16" s="59">
        <f t="shared" si="1"/>
        <v>1092</v>
      </c>
    </row>
    <row r="17" spans="2:20" s="45" customFormat="1" ht="25.5" x14ac:dyDescent="0.2">
      <c r="B17" s="30">
        <v>7</v>
      </c>
      <c r="C17" s="30">
        <v>21401</v>
      </c>
      <c r="D17" s="36" t="s">
        <v>318</v>
      </c>
      <c r="E17" s="33" t="s">
        <v>52</v>
      </c>
      <c r="F17" s="66"/>
      <c r="G17" s="66"/>
      <c r="H17" s="66">
        <v>1</v>
      </c>
      <c r="I17" s="30"/>
      <c r="J17" s="30"/>
      <c r="K17" s="57"/>
      <c r="L17" s="66"/>
      <c r="M17" s="70"/>
      <c r="N17" s="66"/>
      <c r="O17" s="30"/>
      <c r="P17" s="57"/>
      <c r="Q17" s="57"/>
      <c r="R17" s="30">
        <f t="shared" si="0"/>
        <v>1</v>
      </c>
      <c r="S17" s="58">
        <v>1055.5999999999999</v>
      </c>
      <c r="T17" s="59">
        <f t="shared" si="1"/>
        <v>1055.5999999999999</v>
      </c>
    </row>
    <row r="18" spans="2:20" s="45" customFormat="1" ht="13.5" thickBot="1" x14ac:dyDescent="0.25">
      <c r="B18" s="30">
        <v>8</v>
      </c>
      <c r="C18" s="30"/>
      <c r="D18" s="37" t="s">
        <v>487</v>
      </c>
      <c r="E18" s="33" t="s">
        <v>52</v>
      </c>
      <c r="F18" s="66">
        <v>12</v>
      </c>
      <c r="G18" s="66"/>
      <c r="H18" s="66"/>
      <c r="I18" s="30"/>
      <c r="J18" s="30"/>
      <c r="K18" s="57"/>
      <c r="L18" s="66"/>
      <c r="M18" s="70"/>
      <c r="N18" s="66"/>
      <c r="O18" s="30"/>
      <c r="P18" s="57"/>
      <c r="Q18" s="57"/>
      <c r="R18" s="30">
        <f t="shared" ref="R18" si="2">+SUM(F18:Q18)</f>
        <v>12</v>
      </c>
      <c r="S18" s="58">
        <v>862.07</v>
      </c>
      <c r="T18" s="59">
        <f t="shared" ref="T18" si="3">+S18*R18</f>
        <v>10344.84</v>
      </c>
    </row>
    <row r="19" spans="2:20" s="45" customFormat="1" ht="13.5" thickBot="1" x14ac:dyDescent="0.25">
      <c r="B19" s="30">
        <v>9</v>
      </c>
      <c r="C19" s="30"/>
      <c r="D19" s="133" t="s">
        <v>522</v>
      </c>
      <c r="E19" s="135" t="s">
        <v>164</v>
      </c>
      <c r="F19" s="135">
        <v>4</v>
      </c>
      <c r="G19" s="134"/>
      <c r="H19" s="135"/>
      <c r="I19" s="134">
        <v>2</v>
      </c>
      <c r="J19" s="135"/>
      <c r="K19" s="134"/>
      <c r="L19" s="135"/>
      <c r="M19" s="134">
        <v>2</v>
      </c>
      <c r="N19" s="135"/>
      <c r="O19" s="134"/>
      <c r="P19" s="134"/>
      <c r="Q19" s="134">
        <v>2</v>
      </c>
      <c r="R19" s="135">
        <v>10</v>
      </c>
      <c r="S19" s="153">
        <v>1206.8900000000001</v>
      </c>
      <c r="T19" s="138">
        <f>S19*R19</f>
        <v>12068.900000000001</v>
      </c>
    </row>
    <row r="20" spans="2:20" s="45" customFormat="1" ht="13.5" thickBot="1" x14ac:dyDescent="0.25">
      <c r="B20" s="30">
        <v>10</v>
      </c>
      <c r="C20" s="30"/>
      <c r="D20" s="139" t="s">
        <v>523</v>
      </c>
      <c r="E20" s="7" t="s">
        <v>164</v>
      </c>
      <c r="F20" s="7">
        <v>2</v>
      </c>
      <c r="G20" s="8"/>
      <c r="H20" s="7"/>
      <c r="I20" s="8">
        <v>2</v>
      </c>
      <c r="J20" s="7"/>
      <c r="K20" s="8"/>
      <c r="L20" s="7"/>
      <c r="M20" s="8">
        <v>2</v>
      </c>
      <c r="N20" s="7"/>
      <c r="O20" s="8"/>
      <c r="P20" s="8"/>
      <c r="Q20" s="8"/>
      <c r="R20" s="7">
        <v>6</v>
      </c>
      <c r="S20" s="9">
        <v>2011.5</v>
      </c>
      <c r="T20" s="138">
        <f t="shared" ref="T20:T23" si="4">S20*R20</f>
        <v>12069</v>
      </c>
    </row>
    <row r="21" spans="2:20" s="45" customFormat="1" ht="13.5" thickBot="1" x14ac:dyDescent="0.25">
      <c r="B21" s="30">
        <v>11</v>
      </c>
      <c r="C21" s="30"/>
      <c r="D21" s="139" t="s">
        <v>524</v>
      </c>
      <c r="E21" s="7" t="s">
        <v>164</v>
      </c>
      <c r="F21" s="7">
        <v>2</v>
      </c>
      <c r="G21" s="8"/>
      <c r="H21" s="7"/>
      <c r="I21" s="8">
        <v>2</v>
      </c>
      <c r="J21" s="7"/>
      <c r="K21" s="8"/>
      <c r="L21" s="7"/>
      <c r="M21" s="8">
        <v>2</v>
      </c>
      <c r="N21" s="7"/>
      <c r="O21" s="8"/>
      <c r="P21" s="8"/>
      <c r="Q21" s="8"/>
      <c r="R21" s="7">
        <v>6</v>
      </c>
      <c r="S21" s="9">
        <v>1532.57</v>
      </c>
      <c r="T21" s="138">
        <f t="shared" si="4"/>
        <v>9195.42</v>
      </c>
    </row>
    <row r="22" spans="2:20" s="45" customFormat="1" ht="13.5" thickBot="1" x14ac:dyDescent="0.25">
      <c r="B22" s="30">
        <v>12</v>
      </c>
      <c r="C22" s="30"/>
      <c r="D22" s="139" t="s">
        <v>525</v>
      </c>
      <c r="E22" s="7" t="s">
        <v>164</v>
      </c>
      <c r="F22" s="7">
        <v>2</v>
      </c>
      <c r="G22" s="8"/>
      <c r="H22" s="7">
        <v>2</v>
      </c>
      <c r="I22" s="8"/>
      <c r="J22" s="7">
        <v>2</v>
      </c>
      <c r="K22" s="8"/>
      <c r="L22" s="7">
        <v>2</v>
      </c>
      <c r="M22" s="8"/>
      <c r="N22" s="7"/>
      <c r="O22" s="8"/>
      <c r="P22" s="8">
        <v>1</v>
      </c>
      <c r="Q22" s="8"/>
      <c r="R22" s="7">
        <v>9</v>
      </c>
      <c r="S22" s="9">
        <v>1421.45</v>
      </c>
      <c r="T22" s="138">
        <f t="shared" si="4"/>
        <v>12793.050000000001</v>
      </c>
    </row>
    <row r="23" spans="2:20" s="45" customFormat="1" ht="13.5" thickBot="1" x14ac:dyDescent="0.25">
      <c r="B23" s="30">
        <v>13</v>
      </c>
      <c r="C23" s="30"/>
      <c r="D23" s="139" t="s">
        <v>526</v>
      </c>
      <c r="E23" s="7" t="s">
        <v>164</v>
      </c>
      <c r="F23" s="7">
        <v>2</v>
      </c>
      <c r="G23" s="8">
        <v>2</v>
      </c>
      <c r="H23" s="7">
        <v>2</v>
      </c>
      <c r="I23" s="8">
        <v>2</v>
      </c>
      <c r="J23" s="7">
        <v>2</v>
      </c>
      <c r="K23" s="8">
        <v>2</v>
      </c>
      <c r="L23" s="7">
        <v>2</v>
      </c>
      <c r="M23" s="8">
        <v>2</v>
      </c>
      <c r="N23" s="7">
        <v>2</v>
      </c>
      <c r="O23" s="8">
        <v>2</v>
      </c>
      <c r="P23" s="8"/>
      <c r="Q23" s="8"/>
      <c r="R23" s="7">
        <v>20</v>
      </c>
      <c r="S23" s="9">
        <v>279.89</v>
      </c>
      <c r="T23" s="138">
        <f t="shared" si="4"/>
        <v>5597.7999999999993</v>
      </c>
    </row>
    <row r="24" spans="2:20" s="45" customFormat="1" x14ac:dyDescent="0.2">
      <c r="B24" s="30">
        <v>14</v>
      </c>
      <c r="C24" s="30"/>
      <c r="D24" s="179" t="s">
        <v>605</v>
      </c>
      <c r="E24" s="7" t="s">
        <v>493</v>
      </c>
      <c r="F24" s="7"/>
      <c r="G24" s="8"/>
      <c r="H24" s="7"/>
      <c r="I24" s="8">
        <v>1</v>
      </c>
      <c r="J24" s="7"/>
      <c r="K24" s="8"/>
      <c r="L24" s="7"/>
      <c r="M24" s="8">
        <v>1</v>
      </c>
      <c r="N24" s="7"/>
      <c r="O24" s="8"/>
      <c r="P24" s="8"/>
      <c r="Q24" s="8"/>
      <c r="R24" s="7">
        <v>1</v>
      </c>
      <c r="S24" s="9"/>
      <c r="T24" s="138"/>
    </row>
    <row r="25" spans="2:20" s="45" customFormat="1" x14ac:dyDescent="0.2">
      <c r="B25" s="30">
        <v>15</v>
      </c>
      <c r="C25" s="30"/>
      <c r="D25" s="179" t="s">
        <v>606</v>
      </c>
      <c r="E25" s="7" t="s">
        <v>493</v>
      </c>
      <c r="F25" s="66"/>
      <c r="G25" s="66"/>
      <c r="H25" s="66"/>
      <c r="I25" s="30">
        <v>1</v>
      </c>
      <c r="J25" s="30"/>
      <c r="K25" s="57"/>
      <c r="L25" s="66"/>
      <c r="M25" s="70">
        <v>1</v>
      </c>
      <c r="N25" s="66"/>
      <c r="O25" s="30"/>
      <c r="P25" s="57"/>
      <c r="Q25" s="57"/>
      <c r="R25" s="30">
        <v>1</v>
      </c>
      <c r="S25" s="58"/>
      <c r="T25" s="59"/>
    </row>
    <row r="26" spans="2:20" s="45" customFormat="1" ht="13.5" thickBot="1" x14ac:dyDescent="0.25">
      <c r="B26" s="30">
        <v>16</v>
      </c>
      <c r="C26" s="30"/>
      <c r="D26" s="224" t="s">
        <v>766</v>
      </c>
      <c r="E26" s="30" t="s">
        <v>52</v>
      </c>
      <c r="F26" s="66"/>
      <c r="G26" s="66">
        <v>2</v>
      </c>
      <c r="H26" s="66">
        <v>1</v>
      </c>
      <c r="I26" s="30"/>
      <c r="J26" s="30"/>
      <c r="K26" s="30"/>
      <c r="L26" s="66">
        <v>2</v>
      </c>
      <c r="M26" s="70"/>
      <c r="N26" s="66">
        <v>1</v>
      </c>
      <c r="O26" s="30"/>
      <c r="P26" s="57">
        <v>2</v>
      </c>
      <c r="Q26" s="57"/>
      <c r="R26" s="30">
        <f t="shared" ref="R26" si="5">+SUM(F26:Q26)</f>
        <v>8</v>
      </c>
      <c r="S26" s="95">
        <v>1293.0999999999999</v>
      </c>
      <c r="T26" s="59">
        <f>S26*R26</f>
        <v>10344.799999999999</v>
      </c>
    </row>
    <row r="27" spans="2:20" s="45" customFormat="1" x14ac:dyDescent="0.2">
      <c r="B27" s="30">
        <v>17</v>
      </c>
      <c r="C27" s="221" t="s">
        <v>528</v>
      </c>
      <c r="D27" s="264" t="s">
        <v>812</v>
      </c>
      <c r="E27" s="265" t="s">
        <v>164</v>
      </c>
      <c r="F27" s="221"/>
      <c r="G27" s="221">
        <v>5</v>
      </c>
      <c r="H27" s="221"/>
      <c r="I27" s="245"/>
      <c r="J27" s="221">
        <v>4</v>
      </c>
      <c r="K27" s="245"/>
      <c r="L27" s="221"/>
      <c r="M27" s="221">
        <v>5</v>
      </c>
      <c r="N27" s="221"/>
      <c r="O27" s="245"/>
      <c r="P27" s="221">
        <v>5</v>
      </c>
      <c r="Q27" s="245"/>
      <c r="R27" s="220">
        <f>SUM(F27:Q27)</f>
        <v>19</v>
      </c>
      <c r="S27" s="266">
        <v>1813.039</v>
      </c>
      <c r="T27" s="247">
        <f>S27*R27</f>
        <v>34447.741000000002</v>
      </c>
    </row>
    <row r="28" spans="2:20" s="45" customFormat="1" x14ac:dyDescent="0.2">
      <c r="B28" s="30">
        <v>18</v>
      </c>
      <c r="C28" s="7" t="s">
        <v>528</v>
      </c>
      <c r="D28" s="267" t="s">
        <v>813</v>
      </c>
      <c r="E28" s="268" t="s">
        <v>164</v>
      </c>
      <c r="F28" s="7"/>
      <c r="G28" s="7">
        <v>1</v>
      </c>
      <c r="H28" s="7"/>
      <c r="I28" s="8"/>
      <c r="J28" s="7">
        <v>1</v>
      </c>
      <c r="K28" s="8"/>
      <c r="L28" s="7"/>
      <c r="M28" s="7">
        <v>1</v>
      </c>
      <c r="N28" s="7"/>
      <c r="O28" s="8"/>
      <c r="P28" s="7">
        <v>1</v>
      </c>
      <c r="Q28" s="8"/>
      <c r="R28" s="7">
        <f t="shared" ref="R28:R29" si="6">SUM(F28:Q28)</f>
        <v>4</v>
      </c>
      <c r="S28" s="269">
        <v>1568.99</v>
      </c>
      <c r="T28" s="15">
        <f>S28*R28</f>
        <v>6275.96</v>
      </c>
    </row>
    <row r="29" spans="2:20" s="45" customFormat="1" x14ac:dyDescent="0.2">
      <c r="B29" s="30">
        <v>19</v>
      </c>
      <c r="C29" s="7" t="s">
        <v>528</v>
      </c>
      <c r="D29" s="267" t="s">
        <v>814</v>
      </c>
      <c r="E29" s="270" t="s">
        <v>164</v>
      </c>
      <c r="F29" s="7"/>
      <c r="G29" s="7">
        <v>5</v>
      </c>
      <c r="H29" s="7"/>
      <c r="I29" s="8"/>
      <c r="J29" s="7">
        <v>4</v>
      </c>
      <c r="K29" s="8"/>
      <c r="L29" s="7"/>
      <c r="M29" s="7">
        <v>5</v>
      </c>
      <c r="N29" s="7"/>
      <c r="O29" s="8"/>
      <c r="P29" s="7">
        <v>4</v>
      </c>
      <c r="Q29" s="8"/>
      <c r="R29" s="7">
        <f t="shared" si="6"/>
        <v>18</v>
      </c>
      <c r="S29" s="269">
        <v>1568.99</v>
      </c>
      <c r="T29" s="15">
        <f>S29*R29</f>
        <v>28241.82</v>
      </c>
    </row>
    <row r="30" spans="2:20" s="45" customFormat="1" x14ac:dyDescent="0.2">
      <c r="B30" s="30"/>
      <c r="C30" s="30"/>
      <c r="D30" s="36"/>
      <c r="E30" s="33"/>
      <c r="F30" s="66"/>
      <c r="G30" s="66"/>
      <c r="H30" s="66"/>
      <c r="I30" s="30"/>
      <c r="J30" s="30"/>
      <c r="K30" s="57"/>
      <c r="L30" s="66"/>
      <c r="M30" s="70"/>
      <c r="N30" s="66"/>
      <c r="O30" s="30"/>
      <c r="P30" s="57"/>
      <c r="Q30" s="57"/>
      <c r="R30" s="30"/>
      <c r="S30" s="58"/>
      <c r="T30" s="59"/>
    </row>
    <row r="31" spans="2:20" s="45" customFormat="1" x14ac:dyDescent="0.2">
      <c r="B31" s="30"/>
      <c r="C31" s="30"/>
      <c r="D31" s="36"/>
      <c r="E31" s="33"/>
      <c r="F31" s="66"/>
      <c r="G31" s="66"/>
      <c r="H31" s="66"/>
      <c r="I31" s="30"/>
      <c r="J31" s="30"/>
      <c r="K31" s="57"/>
      <c r="L31" s="66"/>
      <c r="M31" s="70"/>
      <c r="N31" s="66"/>
      <c r="O31" s="30"/>
      <c r="P31" s="57"/>
      <c r="Q31" s="57"/>
      <c r="R31" s="30"/>
      <c r="S31" s="58"/>
      <c r="T31" s="59"/>
    </row>
    <row r="32" spans="2:20" s="45" customFormat="1" x14ac:dyDescent="0.2">
      <c r="B32" s="30"/>
      <c r="C32" s="30"/>
      <c r="D32" s="36"/>
      <c r="E32" s="33"/>
      <c r="F32" s="66"/>
      <c r="G32" s="66"/>
      <c r="H32" s="66"/>
      <c r="I32" s="30"/>
      <c r="J32" s="30"/>
      <c r="K32" s="57"/>
      <c r="L32" s="66"/>
      <c r="M32" s="70"/>
      <c r="N32" s="66"/>
      <c r="O32" s="30"/>
      <c r="P32" s="57"/>
      <c r="Q32" s="57"/>
      <c r="R32" s="30"/>
      <c r="S32" s="58"/>
      <c r="T32" s="59"/>
    </row>
    <row r="33" spans="2:20" s="45" customFormat="1" x14ac:dyDescent="0.2">
      <c r="B33" s="30"/>
      <c r="C33" s="30"/>
      <c r="D33" s="36"/>
      <c r="E33" s="33"/>
      <c r="F33" s="66"/>
      <c r="G33" s="66"/>
      <c r="H33" s="66"/>
      <c r="I33" s="30"/>
      <c r="J33" s="30"/>
      <c r="K33" s="57"/>
      <c r="L33" s="66"/>
      <c r="M33" s="70"/>
      <c r="N33" s="66"/>
      <c r="O33" s="30"/>
      <c r="P33" s="57"/>
      <c r="Q33" s="57"/>
      <c r="R33" s="30"/>
      <c r="S33" s="58"/>
      <c r="T33" s="59"/>
    </row>
    <row r="34" spans="2:20" s="45" customFormat="1" x14ac:dyDescent="0.2">
      <c r="B34" s="30"/>
      <c r="C34" s="30"/>
      <c r="D34" s="36"/>
      <c r="E34" s="33"/>
      <c r="F34" s="66"/>
      <c r="G34" s="66"/>
      <c r="H34" s="66"/>
      <c r="I34" s="30"/>
      <c r="J34" s="30"/>
      <c r="K34" s="57"/>
      <c r="L34" s="66"/>
      <c r="M34" s="70"/>
      <c r="N34" s="66"/>
      <c r="O34" s="30"/>
      <c r="P34" s="57"/>
      <c r="Q34" s="57"/>
      <c r="R34" s="30"/>
      <c r="S34" s="58"/>
      <c r="T34" s="59"/>
    </row>
    <row r="35" spans="2:20" s="45" customFormat="1" x14ac:dyDescent="0.2">
      <c r="B35" s="30"/>
      <c r="C35" s="30"/>
      <c r="D35" s="36"/>
      <c r="E35" s="33"/>
      <c r="F35" s="66"/>
      <c r="G35" s="66"/>
      <c r="H35" s="66"/>
      <c r="I35" s="30"/>
      <c r="J35" s="30"/>
      <c r="K35" s="57"/>
      <c r="L35" s="66"/>
      <c r="M35" s="70"/>
      <c r="N35" s="66"/>
      <c r="O35" s="30"/>
      <c r="P35" s="57"/>
      <c r="Q35" s="57"/>
      <c r="R35" s="30"/>
      <c r="S35" s="58"/>
      <c r="T35" s="59"/>
    </row>
    <row r="36" spans="2:20" s="45" customFormat="1" x14ac:dyDescent="0.2">
      <c r="B36" s="30"/>
      <c r="C36" s="30"/>
      <c r="D36" s="36"/>
      <c r="E36" s="33"/>
      <c r="F36" s="66"/>
      <c r="G36" s="66"/>
      <c r="H36" s="66"/>
      <c r="I36" s="30"/>
      <c r="J36" s="30"/>
      <c r="K36" s="57"/>
      <c r="L36" s="66"/>
      <c r="M36" s="70"/>
      <c r="N36" s="66"/>
      <c r="O36" s="30"/>
      <c r="P36" s="57"/>
      <c r="Q36" s="57"/>
      <c r="R36" s="30"/>
      <c r="S36" s="58"/>
      <c r="T36" s="59"/>
    </row>
    <row r="37" spans="2:20" s="45" customFormat="1" x14ac:dyDescent="0.2">
      <c r="B37" s="30"/>
      <c r="C37" s="30"/>
      <c r="D37" s="36"/>
      <c r="E37" s="33"/>
      <c r="F37" s="66"/>
      <c r="G37" s="66"/>
      <c r="H37" s="66"/>
      <c r="I37" s="30"/>
      <c r="J37" s="30"/>
      <c r="K37" s="57"/>
      <c r="L37" s="66"/>
      <c r="M37" s="70"/>
      <c r="N37" s="66"/>
      <c r="O37" s="30"/>
      <c r="P37" s="57"/>
      <c r="Q37" s="57"/>
      <c r="R37" s="30"/>
      <c r="S37" s="58"/>
      <c r="T37" s="59"/>
    </row>
    <row r="38" spans="2:20" s="45" customFormat="1" x14ac:dyDescent="0.2">
      <c r="B38" s="30"/>
      <c r="C38" s="30"/>
      <c r="D38" s="36"/>
      <c r="E38" s="33"/>
      <c r="F38" s="66"/>
      <c r="G38" s="66"/>
      <c r="H38" s="66"/>
      <c r="I38" s="30"/>
      <c r="J38" s="30"/>
      <c r="K38" s="57"/>
      <c r="L38" s="66"/>
      <c r="M38" s="70"/>
      <c r="N38" s="66"/>
      <c r="O38" s="30"/>
      <c r="P38" s="57"/>
      <c r="Q38" s="57"/>
      <c r="R38" s="30"/>
      <c r="S38" s="58"/>
      <c r="T38" s="59"/>
    </row>
    <row r="39" spans="2:20" s="45" customFormat="1" x14ac:dyDescent="0.2">
      <c r="B39" s="30"/>
      <c r="C39" s="30"/>
      <c r="D39" s="31"/>
      <c r="E39" s="30"/>
      <c r="F39" s="66"/>
      <c r="G39" s="66"/>
      <c r="H39" s="66"/>
      <c r="I39" s="30"/>
      <c r="J39" s="30"/>
      <c r="K39" s="57"/>
      <c r="L39" s="66"/>
      <c r="M39" s="70"/>
      <c r="N39" s="66"/>
      <c r="O39" s="30"/>
      <c r="P39" s="57"/>
      <c r="Q39" s="57"/>
      <c r="R39" s="30"/>
      <c r="S39" s="58"/>
      <c r="T39" s="59"/>
    </row>
    <row r="40" spans="2:20" x14ac:dyDescent="0.2">
      <c r="B40" s="14"/>
      <c r="C40" s="7"/>
      <c r="D40" s="7"/>
      <c r="E40" s="7"/>
      <c r="F40" s="73"/>
      <c r="G40" s="74"/>
      <c r="H40" s="73"/>
      <c r="I40" s="7"/>
      <c r="J40" s="7"/>
      <c r="K40" s="8"/>
      <c r="L40" s="73"/>
      <c r="M40" s="74"/>
      <c r="N40" s="73"/>
      <c r="O40" s="7"/>
      <c r="P40" s="8"/>
      <c r="Q40" s="8"/>
      <c r="R40" s="7"/>
      <c r="S40" s="9"/>
      <c r="T40" s="15"/>
    </row>
    <row r="41" spans="2:20" ht="13.5" thickBot="1" x14ac:dyDescent="0.25">
      <c r="B41" s="16"/>
      <c r="C41" s="17"/>
      <c r="D41" s="17"/>
      <c r="E41" s="17"/>
      <c r="F41" s="75"/>
      <c r="G41" s="76"/>
      <c r="H41" s="75"/>
      <c r="I41" s="17"/>
      <c r="J41" s="17"/>
      <c r="K41" s="18"/>
      <c r="L41" s="75"/>
      <c r="M41" s="76"/>
      <c r="N41" s="75"/>
      <c r="O41" s="17"/>
      <c r="P41" s="18"/>
      <c r="Q41" s="18"/>
      <c r="R41" s="17"/>
      <c r="S41" s="19"/>
      <c r="T41" s="20"/>
    </row>
    <row r="42" spans="2:20" x14ac:dyDescent="0.2">
      <c r="B42" s="13"/>
      <c r="C42" s="13"/>
      <c r="D42" s="1"/>
      <c r="E42" s="13"/>
      <c r="F42" s="1"/>
      <c r="G42" s="1"/>
      <c r="H42" s="1"/>
      <c r="I42" s="13"/>
      <c r="J42" s="1"/>
      <c r="K42" s="1"/>
      <c r="L42" s="1"/>
      <c r="M42" s="1"/>
      <c r="N42" s="1"/>
      <c r="O42" s="13"/>
      <c r="P42" s="1"/>
      <c r="Q42" s="1"/>
      <c r="R42" s="1"/>
      <c r="S42" s="11" t="s">
        <v>18</v>
      </c>
      <c r="T42" s="26">
        <f>+SUM(T11:T41)*0.16</f>
        <v>24243.092960000002</v>
      </c>
    </row>
    <row r="43" spans="2:20" x14ac:dyDescent="0.2">
      <c r="B43" s="13"/>
      <c r="C43" s="13"/>
      <c r="D43" s="1"/>
      <c r="E43" s="13"/>
      <c r="F43" s="1"/>
      <c r="G43" s="1"/>
      <c r="H43" s="1"/>
      <c r="I43" s="13"/>
      <c r="J43" s="1"/>
      <c r="K43" s="1"/>
      <c r="L43" s="1"/>
      <c r="M43" s="1"/>
      <c r="N43" s="1"/>
      <c r="O43" s="13"/>
      <c r="P43" s="1"/>
      <c r="Q43" s="1"/>
      <c r="R43" s="1"/>
      <c r="S43" s="27" t="s">
        <v>17</v>
      </c>
      <c r="T43" s="28">
        <f>SUM(T11:T42)</f>
        <v>175762.42396000001</v>
      </c>
    </row>
    <row r="44" spans="2:20" x14ac:dyDescent="0.2">
      <c r="B44" s="13"/>
      <c r="C44" s="13"/>
      <c r="D44" s="1"/>
      <c r="E44" s="13"/>
      <c r="F44" s="1"/>
      <c r="G44" s="1"/>
      <c r="H44" s="1"/>
      <c r="I44" s="13"/>
      <c r="J44" s="1"/>
      <c r="K44" s="1"/>
      <c r="L44" s="1"/>
      <c r="M44" s="1"/>
      <c r="N44" s="1"/>
      <c r="O44" s="13"/>
      <c r="P44" s="1"/>
      <c r="Q44" s="1"/>
      <c r="R44" s="1"/>
      <c r="S44" s="11"/>
      <c r="T44" s="11"/>
    </row>
    <row r="45" spans="2:20" x14ac:dyDescent="0.2">
      <c r="B45" s="1"/>
      <c r="C45" s="1"/>
      <c r="D45" s="1"/>
      <c r="E45" s="1"/>
      <c r="F45" s="1"/>
      <c r="G45" s="1"/>
      <c r="H45" s="1"/>
      <c r="I45" s="13"/>
      <c r="J45" s="1"/>
      <c r="K45" s="1"/>
      <c r="L45" s="1"/>
      <c r="M45" s="1"/>
      <c r="N45" s="1"/>
      <c r="O45" s="13"/>
      <c r="P45" s="1"/>
      <c r="Q45" s="1"/>
      <c r="R45" s="1"/>
      <c r="S45" s="1"/>
      <c r="T45" s="12"/>
    </row>
    <row r="46" spans="2:20" x14ac:dyDescent="0.2">
      <c r="B46" s="1"/>
      <c r="C46" s="1"/>
      <c r="D46" s="1"/>
      <c r="E46" s="1"/>
      <c r="F46" s="1"/>
      <c r="G46" s="1"/>
      <c r="H46" s="1"/>
      <c r="I46" s="13"/>
      <c r="J46" s="1"/>
      <c r="K46" s="1"/>
      <c r="L46" s="1"/>
      <c r="M46" s="1"/>
      <c r="N46" s="1"/>
      <c r="O46" s="13"/>
      <c r="P46" s="1"/>
      <c r="Q46" s="1"/>
      <c r="R46" s="1"/>
      <c r="S46" s="1"/>
      <c r="T46" s="1"/>
    </row>
    <row r="47" spans="2:20" x14ac:dyDescent="0.2">
      <c r="B47" s="29"/>
      <c r="C47" s="29"/>
      <c r="D47" s="29"/>
      <c r="E47" s="29"/>
      <c r="F47" s="29"/>
      <c r="G47" s="29"/>
      <c r="H47" s="29"/>
      <c r="I47" s="42"/>
      <c r="J47" s="29"/>
      <c r="K47" s="29"/>
      <c r="L47" s="29"/>
      <c r="M47" s="29"/>
      <c r="N47" s="29"/>
      <c r="O47" s="42"/>
      <c r="P47" s="29"/>
      <c r="Q47" s="29"/>
      <c r="R47" s="29"/>
      <c r="S47" s="29"/>
      <c r="T47" s="29"/>
    </row>
    <row r="48" spans="2:20" x14ac:dyDescent="0.2">
      <c r="B48" s="29"/>
      <c r="C48" s="29"/>
      <c r="D48" s="29"/>
      <c r="E48" s="29"/>
      <c r="F48" s="29"/>
      <c r="G48" s="29"/>
      <c r="H48" s="29"/>
      <c r="I48" s="42"/>
      <c r="J48" s="29"/>
      <c r="K48" s="29"/>
      <c r="L48" s="29"/>
      <c r="M48" s="29"/>
      <c r="N48" s="29"/>
      <c r="O48" s="42"/>
      <c r="P48" s="29"/>
      <c r="Q48" s="29"/>
      <c r="R48" s="29"/>
      <c r="S48" s="29"/>
      <c r="T48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workbookViewId="0">
      <selection activeCell="D16" sqref="D1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585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38.25" x14ac:dyDescent="0.2">
      <c r="B11" s="131">
        <v>1</v>
      </c>
      <c r="C11" t="s">
        <v>582</v>
      </c>
      <c r="D11" s="175" t="s">
        <v>586</v>
      </c>
      <c r="E11" s="135" t="s">
        <v>85</v>
      </c>
      <c r="F11" s="163">
        <v>1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35">
        <f>SUM(F11:Q11)</f>
        <v>1</v>
      </c>
      <c r="S11" s="164">
        <v>775862.06896551733</v>
      </c>
      <c r="T11" s="138">
        <f>S11*R11</f>
        <v>775862.06896551733</v>
      </c>
    </row>
    <row r="12" spans="2:25" ht="13.5" thickBot="1" x14ac:dyDescent="0.25">
      <c r="B12" s="14"/>
      <c r="C12" s="7"/>
      <c r="D12" s="225" t="s">
        <v>773</v>
      </c>
      <c r="E12" s="30" t="s">
        <v>140</v>
      </c>
      <c r="F12" s="66"/>
      <c r="G12" s="66"/>
      <c r="H12" s="66"/>
      <c r="I12" s="30"/>
      <c r="J12" s="30"/>
      <c r="K12" s="30"/>
      <c r="L12" s="66"/>
      <c r="M12" s="70">
        <v>1</v>
      </c>
      <c r="N12" s="66"/>
      <c r="O12" s="30"/>
      <c r="P12" s="57"/>
      <c r="Q12" s="57"/>
      <c r="R12" s="30">
        <f t="shared" ref="R12" si="0">+SUM(F12:Q12)</f>
        <v>1</v>
      </c>
      <c r="S12" s="95">
        <v>34482.800000000003</v>
      </c>
      <c r="T12" s="59">
        <f>S12*R12</f>
        <v>34482.800000000003</v>
      </c>
    </row>
    <row r="13" spans="2:25" ht="13.5" thickBot="1" x14ac:dyDescent="0.25">
      <c r="B13" s="14"/>
      <c r="C13" s="7"/>
      <c r="D13" s="165"/>
      <c r="E13" s="7"/>
      <c r="F13" s="166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35"/>
      <c r="S13" s="167"/>
      <c r="T13" s="138"/>
    </row>
    <row r="14" spans="2:25" ht="13.5" thickBot="1" x14ac:dyDescent="0.25">
      <c r="B14" s="14"/>
      <c r="C14" s="7"/>
      <c r="D14" s="165"/>
      <c r="E14" s="7"/>
      <c r="F14" s="166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35"/>
      <c r="S14" s="167"/>
      <c r="T14" s="138"/>
    </row>
    <row r="15" spans="2:25" ht="13.5" thickBot="1" x14ac:dyDescent="0.25">
      <c r="B15" s="14"/>
      <c r="C15" s="135"/>
      <c r="D15" s="168"/>
      <c r="E15" s="7"/>
      <c r="F15" s="169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35"/>
      <c r="S15" s="170"/>
      <c r="T15" s="138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v>124137.93103448278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SUM(T11:T47)</f>
        <v>934482.80000000016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E4" workbookViewId="0">
      <selection activeCell="R15" sqref="R1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589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13.5" thickBot="1" x14ac:dyDescent="0.25">
      <c r="B11" s="131">
        <v>1</v>
      </c>
      <c r="C11" t="s">
        <v>582</v>
      </c>
      <c r="D11" s="175" t="s">
        <v>590</v>
      </c>
      <c r="E11" s="135" t="s">
        <v>85</v>
      </c>
      <c r="F11" s="163">
        <v>4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35">
        <f>SUM(F11:Q11)</f>
        <v>4</v>
      </c>
      <c r="S11" s="164">
        <v>5500</v>
      </c>
      <c r="T11" s="138">
        <f>S11*R11</f>
        <v>22000</v>
      </c>
    </row>
    <row r="12" spans="2:25" ht="13.5" thickBot="1" x14ac:dyDescent="0.25">
      <c r="B12" s="14">
        <v>2</v>
      </c>
      <c r="C12" s="7" t="s">
        <v>528</v>
      </c>
      <c r="D12" s="175" t="s">
        <v>591</v>
      </c>
      <c r="E12" s="7" t="s">
        <v>85</v>
      </c>
      <c r="F12" s="166">
        <v>4</v>
      </c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35">
        <f>SUM(F12:Q12)</f>
        <v>4</v>
      </c>
      <c r="S12" s="167">
        <v>3500</v>
      </c>
      <c r="T12" s="138">
        <f t="shared" ref="T12:T15" si="0">S12*R12</f>
        <v>14000</v>
      </c>
    </row>
    <row r="13" spans="2:25" ht="23.25" thickBot="1" x14ac:dyDescent="0.25">
      <c r="B13" s="14">
        <v>3</v>
      </c>
      <c r="C13" s="7" t="s">
        <v>528</v>
      </c>
      <c r="D13" s="177" t="s">
        <v>592</v>
      </c>
      <c r="E13" s="7" t="s">
        <v>85</v>
      </c>
      <c r="F13" s="166">
        <v>14</v>
      </c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35">
        <f t="shared" ref="R13:R15" si="1">SUM(F13:Q13)</f>
        <v>14</v>
      </c>
      <c r="S13" s="167">
        <v>300</v>
      </c>
      <c r="T13" s="138">
        <f t="shared" si="0"/>
        <v>4200</v>
      </c>
    </row>
    <row r="14" spans="2:25" ht="23.25" thickBot="1" x14ac:dyDescent="0.25">
      <c r="B14" s="14">
        <v>4</v>
      </c>
      <c r="C14" s="7" t="s">
        <v>528</v>
      </c>
      <c r="D14" s="177" t="s">
        <v>593</v>
      </c>
      <c r="E14" s="7" t="s">
        <v>85</v>
      </c>
      <c r="F14" s="166">
        <v>10</v>
      </c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35">
        <f t="shared" si="1"/>
        <v>10</v>
      </c>
      <c r="S14" s="167">
        <v>178</v>
      </c>
      <c r="T14" s="138">
        <f t="shared" si="0"/>
        <v>1780</v>
      </c>
    </row>
    <row r="15" spans="2:25" ht="23.25" thickBot="1" x14ac:dyDescent="0.25">
      <c r="B15" s="14">
        <v>5</v>
      </c>
      <c r="C15" s="135" t="s">
        <v>528</v>
      </c>
      <c r="D15" s="177" t="s">
        <v>594</v>
      </c>
      <c r="E15" s="7" t="s">
        <v>85</v>
      </c>
      <c r="F15" s="169">
        <v>30</v>
      </c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35">
        <f t="shared" si="1"/>
        <v>30</v>
      </c>
      <c r="S15" s="170">
        <v>128</v>
      </c>
      <c r="T15" s="138">
        <f t="shared" si="0"/>
        <v>3840</v>
      </c>
    </row>
    <row r="16" spans="2:25" ht="22.5" x14ac:dyDescent="0.2">
      <c r="B16" s="14">
        <v>6</v>
      </c>
      <c r="C16" s="7" t="s">
        <v>528</v>
      </c>
      <c r="D16" s="177" t="s">
        <v>595</v>
      </c>
      <c r="E16" s="7" t="s">
        <v>85</v>
      </c>
      <c r="F16" s="7">
        <v>64</v>
      </c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>
        <v>64</v>
      </c>
      <c r="S16" s="9">
        <v>125.9996</v>
      </c>
      <c r="T16" s="15">
        <v>8063.97</v>
      </c>
    </row>
    <row r="17" spans="2:20" ht="22.5" x14ac:dyDescent="0.2">
      <c r="B17" s="14">
        <v>7</v>
      </c>
      <c r="C17" s="7" t="s">
        <v>528</v>
      </c>
      <c r="D17" s="177" t="s">
        <v>596</v>
      </c>
      <c r="E17" s="7" t="s">
        <v>85</v>
      </c>
      <c r="F17" s="7">
        <v>149</v>
      </c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>
        <v>149</v>
      </c>
      <c r="S17" s="9">
        <v>900</v>
      </c>
      <c r="T17" s="15">
        <v>134100</v>
      </c>
    </row>
    <row r="18" spans="2:20" ht="22.5" x14ac:dyDescent="0.2">
      <c r="B18" s="14">
        <v>8</v>
      </c>
      <c r="C18" s="7" t="s">
        <v>528</v>
      </c>
      <c r="D18" s="177" t="s">
        <v>597</v>
      </c>
      <c r="E18" s="7" t="s">
        <v>85</v>
      </c>
      <c r="F18" s="7">
        <v>50</v>
      </c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>
        <v>50</v>
      </c>
      <c r="S18" s="9">
        <v>150</v>
      </c>
      <c r="T18" s="15">
        <v>7500</v>
      </c>
    </row>
    <row r="19" spans="2:20" ht="22.5" x14ac:dyDescent="0.2">
      <c r="B19" s="14">
        <v>9</v>
      </c>
      <c r="C19" s="7" t="s">
        <v>528</v>
      </c>
      <c r="D19" s="177" t="s">
        <v>598</v>
      </c>
      <c r="E19" s="7" t="s">
        <v>85</v>
      </c>
      <c r="F19" s="7">
        <v>96</v>
      </c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>
        <v>96</v>
      </c>
      <c r="S19" s="9">
        <v>118.881</v>
      </c>
      <c r="T19" s="15">
        <v>11412.58</v>
      </c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v>33103.448064000004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SUM(T11:T47)</f>
        <v>239999.99806399998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19"/>
  <sheetViews>
    <sheetView workbookViewId="0">
      <selection activeCell="T13" sqref="T1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10.28515625" bestFit="1" customWidth="1"/>
    <col min="8" max="8" width="8.285156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3.42578125" bestFit="1" customWidth="1"/>
    <col min="15" max="15" width="10.28515625" bestFit="1" customWidth="1"/>
    <col min="16" max="16" width="12.42578125" bestFit="1" customWidth="1"/>
    <col min="17" max="17" width="11.710937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774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30">
        <v>1</v>
      </c>
      <c r="C11" s="30" t="s">
        <v>50</v>
      </c>
      <c r="D11" s="31" t="s">
        <v>775</v>
      </c>
      <c r="E11" s="30" t="s">
        <v>52</v>
      </c>
      <c r="F11" s="66"/>
      <c r="G11" s="66">
        <v>20</v>
      </c>
      <c r="H11" s="66"/>
      <c r="I11" s="30"/>
      <c r="J11" s="30"/>
      <c r="K11" s="30"/>
      <c r="L11" s="66"/>
      <c r="M11" s="70">
        <v>20</v>
      </c>
      <c r="N11" s="66"/>
      <c r="O11" s="30"/>
      <c r="P11" s="57">
        <v>20</v>
      </c>
      <c r="Q11" s="57"/>
      <c r="R11" s="30">
        <f t="shared" ref="R11:R12" si="0">+SUM(F11:Q11)</f>
        <v>60</v>
      </c>
      <c r="S11" s="95">
        <v>11.614000000000001</v>
      </c>
      <c r="T11" s="59">
        <v>696.8</v>
      </c>
    </row>
    <row r="12" spans="2:25" x14ac:dyDescent="0.2">
      <c r="B12" s="30">
        <v>2</v>
      </c>
      <c r="C12" s="30" t="s">
        <v>50</v>
      </c>
      <c r="D12" s="31" t="s">
        <v>776</v>
      </c>
      <c r="E12" s="30" t="s">
        <v>52</v>
      </c>
      <c r="F12" s="66"/>
      <c r="G12" s="66">
        <v>20</v>
      </c>
      <c r="H12" s="66"/>
      <c r="I12" s="30"/>
      <c r="J12" s="30"/>
      <c r="K12" s="30"/>
      <c r="L12" s="66"/>
      <c r="M12" s="70">
        <v>20</v>
      </c>
      <c r="N12" s="66"/>
      <c r="O12" s="30"/>
      <c r="P12" s="57">
        <v>20</v>
      </c>
      <c r="Q12" s="57"/>
      <c r="R12" s="30">
        <f t="shared" si="0"/>
        <v>60</v>
      </c>
      <c r="S12" s="95">
        <v>21.72</v>
      </c>
      <c r="T12" s="59">
        <f t="shared" ref="T12" si="1">+S12*R12</f>
        <v>1303.1999999999998</v>
      </c>
    </row>
    <row r="13" spans="2:25" x14ac:dyDescent="0.2">
      <c r="B13" s="13"/>
      <c r="C13" s="13"/>
      <c r="D13" s="1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" t="s">
        <v>18</v>
      </c>
      <c r="T13" s="26">
        <v>320</v>
      </c>
    </row>
    <row r="14" spans="2:25" x14ac:dyDescent="0.2">
      <c r="B14" s="13"/>
      <c r="C14" s="13"/>
      <c r="D14" s="1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7" t="s">
        <v>17</v>
      </c>
      <c r="T14" s="28">
        <f>SUM(T11:T13)</f>
        <v>2320</v>
      </c>
    </row>
    <row r="15" spans="2:25" x14ac:dyDescent="0.2">
      <c r="B15" s="13"/>
      <c r="C15" s="13"/>
      <c r="D15" s="1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"/>
      <c r="T15" s="11"/>
    </row>
    <row r="16" spans="2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2"/>
    </row>
    <row r="17" spans="2:20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zoomScale="90" zoomScaleNormal="90" workbookViewId="0">
      <selection activeCell="D11" sqref="D1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741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206" t="s">
        <v>742</v>
      </c>
      <c r="E11" s="207" t="s">
        <v>505</v>
      </c>
      <c r="F11" s="7"/>
      <c r="G11" s="7"/>
      <c r="H11" s="7"/>
      <c r="I11" s="214"/>
      <c r="J11" s="215"/>
      <c r="K11" s="214"/>
      <c r="L11" s="7">
        <v>1</v>
      </c>
      <c r="M11" s="7"/>
      <c r="N11" s="7"/>
      <c r="O11" s="7"/>
      <c r="P11" s="7"/>
      <c r="Q11" s="7"/>
      <c r="R11" s="7">
        <f t="shared" ref="R11" si="0">SUM(F11:Q11)</f>
        <v>1</v>
      </c>
      <c r="S11" s="209">
        <v>6000</v>
      </c>
      <c r="T11" s="15">
        <f>+R11*S11</f>
        <v>6000</v>
      </c>
    </row>
    <row r="12" spans="2:21" s="183" customFormat="1" ht="11.25" x14ac:dyDescent="0.2">
      <c r="B12" s="14"/>
      <c r="C12" s="7"/>
      <c r="D12" s="178"/>
      <c r="E12" s="210"/>
      <c r="F12" s="7"/>
      <c r="G12" s="7"/>
      <c r="H12" s="7"/>
      <c r="I12" s="211"/>
      <c r="J12" s="185"/>
      <c r="K12" s="211"/>
      <c r="L12" s="7"/>
      <c r="M12" s="7"/>
      <c r="N12" s="7"/>
      <c r="O12" s="7"/>
      <c r="P12" s="7"/>
      <c r="Q12" s="7"/>
      <c r="R12" s="157"/>
      <c r="S12" s="212"/>
      <c r="T12" s="15"/>
    </row>
    <row r="13" spans="2:21" s="183" customFormat="1" ht="11.25" x14ac:dyDescent="0.2">
      <c r="B13" s="14"/>
      <c r="C13" s="7"/>
      <c r="D13" s="178"/>
      <c r="E13" s="210"/>
      <c r="F13" s="7"/>
      <c r="G13" s="7"/>
      <c r="H13" s="7"/>
      <c r="I13" s="211"/>
      <c r="J13" s="185"/>
      <c r="K13" s="211"/>
      <c r="L13" s="7"/>
      <c r="M13" s="7"/>
      <c r="N13" s="7"/>
      <c r="O13" s="7"/>
      <c r="P13" s="7"/>
      <c r="Q13" s="7"/>
      <c r="R13" s="157"/>
      <c r="S13" s="212"/>
      <c r="T13" s="15"/>
    </row>
    <row r="14" spans="2:21" x14ac:dyDescent="0.2">
      <c r="B14" s="14"/>
      <c r="C14" s="7"/>
      <c r="D14" s="178"/>
      <c r="E14" s="210"/>
      <c r="F14" s="7"/>
      <c r="G14" s="7"/>
      <c r="H14" s="7"/>
      <c r="I14" s="211"/>
      <c r="J14" s="185"/>
      <c r="K14" s="211"/>
      <c r="L14" s="7"/>
      <c r="M14" s="7"/>
      <c r="N14" s="7"/>
      <c r="O14" s="7"/>
      <c r="P14" s="7"/>
      <c r="Q14" s="7"/>
      <c r="R14" s="157"/>
      <c r="S14" s="212"/>
      <c r="T14" s="15"/>
    </row>
    <row r="15" spans="2:21" x14ac:dyDescent="0.2">
      <c r="B15" s="14"/>
      <c r="C15" s="7"/>
      <c r="D15" s="178"/>
      <c r="E15" s="210"/>
      <c r="F15" s="7"/>
      <c r="G15" s="7"/>
      <c r="H15" s="7"/>
      <c r="I15" s="211"/>
      <c r="J15" s="185"/>
      <c r="K15" s="7"/>
      <c r="L15" s="7"/>
      <c r="M15" s="7"/>
      <c r="N15" s="7"/>
      <c r="O15" s="7"/>
      <c r="P15" s="7"/>
      <c r="Q15" s="7"/>
      <c r="R15" s="157"/>
      <c r="S15" s="212"/>
      <c r="T15" s="15"/>
    </row>
    <row r="16" spans="2:21" x14ac:dyDescent="0.2">
      <c r="B16" s="14"/>
      <c r="C16" s="7"/>
      <c r="D16" s="178"/>
      <c r="E16" s="210"/>
      <c r="F16" s="7"/>
      <c r="G16" s="7"/>
      <c r="H16" s="7"/>
      <c r="I16" s="211"/>
      <c r="J16" s="185"/>
      <c r="K16" s="7"/>
      <c r="L16" s="7"/>
      <c r="M16" s="7"/>
      <c r="N16" s="7"/>
      <c r="O16" s="7"/>
      <c r="P16" s="7"/>
      <c r="Q16" s="7"/>
      <c r="R16" s="157"/>
      <c r="S16" s="212"/>
      <c r="T16" s="15"/>
    </row>
    <row r="17" spans="2:20" x14ac:dyDescent="0.2">
      <c r="B17" s="14"/>
      <c r="C17" s="7"/>
      <c r="D17" s="178"/>
      <c r="E17" s="210"/>
      <c r="F17" s="7"/>
      <c r="G17" s="7"/>
      <c r="H17" s="7"/>
      <c r="I17" s="211"/>
      <c r="J17" s="185"/>
      <c r="K17" s="7"/>
      <c r="L17" s="7"/>
      <c r="M17" s="7"/>
      <c r="N17" s="7"/>
      <c r="O17" s="7"/>
      <c r="P17" s="7"/>
      <c r="Q17" s="7"/>
      <c r="R17" s="157"/>
      <c r="S17" s="212"/>
      <c r="T17" s="15"/>
    </row>
    <row r="18" spans="2:20" x14ac:dyDescent="0.2">
      <c r="B18" s="14"/>
      <c r="C18" s="7"/>
      <c r="D18" s="178"/>
      <c r="E18" s="210"/>
      <c r="F18" s="7"/>
      <c r="G18" s="7"/>
      <c r="H18" s="7"/>
      <c r="I18" s="211"/>
      <c r="J18" s="185"/>
      <c r="K18" s="7"/>
      <c r="L18" s="7"/>
      <c r="M18" s="7"/>
      <c r="N18" s="7"/>
      <c r="O18" s="7"/>
      <c r="P18" s="7"/>
      <c r="Q18" s="7"/>
      <c r="R18" s="157"/>
      <c r="S18" s="212"/>
      <c r="T18" s="15"/>
    </row>
    <row r="19" spans="2:20" x14ac:dyDescent="0.2">
      <c r="B19" s="14"/>
      <c r="C19" s="7"/>
      <c r="D19" s="178"/>
      <c r="E19" s="210"/>
      <c r="F19" s="7"/>
      <c r="G19" s="8"/>
      <c r="H19" s="7"/>
      <c r="I19" s="211"/>
      <c r="J19" s="185"/>
      <c r="K19" s="8"/>
      <c r="L19" s="7"/>
      <c r="M19" s="8"/>
      <c r="N19" s="7"/>
      <c r="O19" s="8"/>
      <c r="P19" s="8"/>
      <c r="Q19" s="8"/>
      <c r="R19" s="157"/>
      <c r="S19" s="212"/>
      <c r="T19" s="15"/>
    </row>
    <row r="20" spans="2:20" x14ac:dyDescent="0.2">
      <c r="B20" s="14"/>
      <c r="C20" s="7"/>
      <c r="D20" s="178"/>
      <c r="E20" s="210"/>
      <c r="F20" s="7"/>
      <c r="G20" s="8"/>
      <c r="H20" s="7"/>
      <c r="I20" s="211"/>
      <c r="J20" s="185"/>
      <c r="K20" s="8"/>
      <c r="L20" s="7"/>
      <c r="M20" s="8"/>
      <c r="N20" s="7"/>
      <c r="O20" s="8"/>
      <c r="P20" s="8"/>
      <c r="Q20" s="8"/>
      <c r="R20" s="157"/>
      <c r="S20" s="212"/>
      <c r="T20" s="15"/>
    </row>
    <row r="21" spans="2:20" x14ac:dyDescent="0.2">
      <c r="B21" s="14"/>
      <c r="C21" s="7"/>
      <c r="D21" s="184"/>
      <c r="E21" s="185"/>
      <c r="F21" s="7"/>
      <c r="G21" s="8"/>
      <c r="H21" s="7"/>
      <c r="I21" s="8"/>
      <c r="J21" s="185"/>
      <c r="K21" s="8"/>
      <c r="L21" s="7"/>
      <c r="M21" s="8"/>
      <c r="N21" s="7"/>
      <c r="O21" s="8"/>
      <c r="P21" s="8"/>
      <c r="Q21" s="8"/>
      <c r="R21" s="157"/>
      <c r="S21" s="186"/>
      <c r="T21" s="15"/>
    </row>
    <row r="22" spans="2:20" x14ac:dyDescent="0.2">
      <c r="B22" s="14"/>
      <c r="C22" s="7"/>
      <c r="D22" s="184"/>
      <c r="E22" s="185"/>
      <c r="F22" s="7"/>
      <c r="G22" s="8"/>
      <c r="H22" s="7"/>
      <c r="I22" s="8"/>
      <c r="J22" s="185"/>
      <c r="K22" s="8"/>
      <c r="L22" s="7"/>
      <c r="M22" s="8"/>
      <c r="N22" s="7"/>
      <c r="O22" s="8"/>
      <c r="P22" s="8"/>
      <c r="Q22" s="8"/>
      <c r="R22" s="157"/>
      <c r="S22" s="186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57"/>
      <c r="S23" s="186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960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6960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Q55" sqref="Q55"/>
    </sheetView>
  </sheetViews>
  <sheetFormatPr baseColWidth="10" defaultRowHeight="12.75" x14ac:dyDescent="0.2"/>
  <cols>
    <col min="4" max="4" width="33.5703125" customWidth="1"/>
    <col min="6" max="17" width="9.1406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558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559</v>
      </c>
      <c r="E11" s="135" t="s">
        <v>560</v>
      </c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4">
        <v>36</v>
      </c>
      <c r="Q11" s="134"/>
      <c r="R11" s="135">
        <v>36</v>
      </c>
      <c r="S11" s="153">
        <v>388.33</v>
      </c>
      <c r="T11" s="138">
        <v>12051.72</v>
      </c>
    </row>
    <row r="12" spans="1:20" ht="13.5" thickBot="1" x14ac:dyDescent="0.25">
      <c r="B12" s="14"/>
      <c r="C12" s="135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38"/>
    </row>
    <row r="13" spans="1:20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0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12051.72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v>1928.28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13980</v>
      </c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4" workbookViewId="0">
      <selection activeCell="D8" sqref="D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587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13.5" thickBot="1" x14ac:dyDescent="0.25">
      <c r="B11" s="131">
        <v>1</v>
      </c>
      <c r="C11" t="s">
        <v>582</v>
      </c>
      <c r="D11" s="176" t="s">
        <v>588</v>
      </c>
      <c r="E11" s="135" t="s">
        <v>85</v>
      </c>
      <c r="F11" s="163">
        <v>1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35">
        <f>SUM(F11:Q11)</f>
        <v>1</v>
      </c>
      <c r="S11" s="164">
        <v>640517.24</v>
      </c>
      <c r="T11" s="138">
        <f>S11*R11</f>
        <v>640517.24</v>
      </c>
    </row>
    <row r="12" spans="2:25" ht="13.5" thickBot="1" x14ac:dyDescent="0.25">
      <c r="B12" s="14"/>
      <c r="C12" s="7"/>
      <c r="D12" s="165"/>
      <c r="E12" s="7"/>
      <c r="F12" s="166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35">
        <f>SUM(F12:Q12)</f>
        <v>0</v>
      </c>
      <c r="S12" s="167"/>
      <c r="T12" s="138">
        <f t="shared" ref="T12:T15" si="0">S12*R12</f>
        <v>0</v>
      </c>
    </row>
    <row r="13" spans="2:25" ht="13.5" thickBot="1" x14ac:dyDescent="0.25">
      <c r="B13" s="14"/>
      <c r="C13" s="7"/>
      <c r="D13" s="165"/>
      <c r="E13" s="7"/>
      <c r="F13" s="166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35">
        <f t="shared" ref="R13:R15" si="1">SUM(F13:Q13)</f>
        <v>0</v>
      </c>
      <c r="S13" s="167"/>
      <c r="T13" s="138">
        <f t="shared" si="0"/>
        <v>0</v>
      </c>
    </row>
    <row r="14" spans="2:25" ht="13.5" thickBot="1" x14ac:dyDescent="0.25">
      <c r="B14" s="14"/>
      <c r="C14" s="7"/>
      <c r="D14" s="165"/>
      <c r="E14" s="7"/>
      <c r="F14" s="166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35">
        <f t="shared" si="1"/>
        <v>0</v>
      </c>
      <c r="S14" s="167"/>
      <c r="T14" s="138">
        <f t="shared" si="0"/>
        <v>0</v>
      </c>
    </row>
    <row r="15" spans="2:25" ht="13.5" thickBot="1" x14ac:dyDescent="0.25">
      <c r="B15" s="14"/>
      <c r="C15" s="135"/>
      <c r="D15" s="168"/>
      <c r="E15" s="7"/>
      <c r="F15" s="169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35">
        <f t="shared" si="1"/>
        <v>0</v>
      </c>
      <c r="S15" s="170"/>
      <c r="T15" s="138">
        <f t="shared" si="0"/>
        <v>0</v>
      </c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v>102482.75840000001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SUM(T11:T47)</f>
        <v>742999.99840000004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F13" sqref="F13"/>
    </sheetView>
  </sheetViews>
  <sheetFormatPr baseColWidth="10" defaultRowHeight="12.75" x14ac:dyDescent="0.2"/>
  <cols>
    <col min="4" max="4" width="33.28515625" customWidth="1"/>
    <col min="6" max="17" width="9.425781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561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562</v>
      </c>
      <c r="E11" s="135" t="s">
        <v>557</v>
      </c>
      <c r="F11" s="135">
        <v>1</v>
      </c>
      <c r="G11" s="134">
        <v>1</v>
      </c>
      <c r="H11" s="135">
        <v>1</v>
      </c>
      <c r="I11" s="134">
        <v>1</v>
      </c>
      <c r="J11" s="135">
        <v>1</v>
      </c>
      <c r="K11" s="134">
        <v>1</v>
      </c>
      <c r="L11" s="135">
        <v>1</v>
      </c>
      <c r="M11" s="134">
        <v>1</v>
      </c>
      <c r="N11" s="135">
        <v>1</v>
      </c>
      <c r="O11" s="134">
        <v>1</v>
      </c>
      <c r="P11" s="134">
        <v>1</v>
      </c>
      <c r="Q11" s="134">
        <v>1</v>
      </c>
      <c r="R11" s="135">
        <v>12</v>
      </c>
      <c r="S11" s="153">
        <v>251.43</v>
      </c>
      <c r="T11" s="138">
        <f>S11*R11</f>
        <v>3017.16</v>
      </c>
    </row>
    <row r="12" spans="1:20" ht="13.5" thickBot="1" x14ac:dyDescent="0.25">
      <c r="B12" s="131">
        <v>2</v>
      </c>
      <c r="C12" s="135" t="s">
        <v>528</v>
      </c>
      <c r="D12" s="285" t="s">
        <v>858</v>
      </c>
      <c r="E12" s="244" t="s">
        <v>786</v>
      </c>
      <c r="F12" s="135">
        <v>1</v>
      </c>
      <c r="G12" s="135">
        <v>1</v>
      </c>
      <c r="H12" s="135">
        <v>1</v>
      </c>
      <c r="I12" s="135">
        <v>1</v>
      </c>
      <c r="J12" s="135">
        <v>1</v>
      </c>
      <c r="K12" s="135">
        <v>1</v>
      </c>
      <c r="L12" s="135">
        <v>1</v>
      </c>
      <c r="M12" s="135">
        <v>1</v>
      </c>
      <c r="N12" s="135">
        <v>1</v>
      </c>
      <c r="O12" s="135">
        <v>1</v>
      </c>
      <c r="P12" s="135">
        <v>1</v>
      </c>
      <c r="Q12" s="135">
        <v>1</v>
      </c>
      <c r="R12" s="219">
        <f>SUM(F12:Q12)</f>
        <v>12</v>
      </c>
      <c r="S12" s="286">
        <v>143.678</v>
      </c>
      <c r="T12" s="238">
        <f>S12*R12</f>
        <v>1724.136</v>
      </c>
    </row>
    <row r="13" spans="1:20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0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4741.2960000000003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f>T46*16%</f>
        <v>758.60736000000009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5499.9033600000002</v>
      </c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53"/>
  <sheetViews>
    <sheetView workbookViewId="0">
      <selection activeCell="R22" sqref="R2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3" customWidth="1"/>
    <col min="20" max="20" width="13.14062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787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x14ac:dyDescent="0.2">
      <c r="B11" s="131">
        <v>1</v>
      </c>
      <c r="C11" s="135" t="s">
        <v>528</v>
      </c>
      <c r="D11" s="135" t="s">
        <v>788</v>
      </c>
      <c r="E11" s="135" t="s">
        <v>786</v>
      </c>
      <c r="F11" s="135"/>
      <c r="G11" s="134"/>
      <c r="H11" s="135"/>
      <c r="I11" s="134"/>
      <c r="J11" s="135">
        <v>1</v>
      </c>
      <c r="K11" s="134"/>
      <c r="L11" s="135"/>
      <c r="M11" s="134"/>
      <c r="N11" s="135"/>
      <c r="O11" s="134"/>
      <c r="P11" s="134"/>
      <c r="Q11" s="134"/>
      <c r="R11" s="135">
        <f>SUM(F11:Q11)</f>
        <v>1</v>
      </c>
      <c r="S11" s="153">
        <v>39053914</v>
      </c>
      <c r="T11" s="138">
        <f>S11*R11</f>
        <v>39053914</v>
      </c>
    </row>
    <row r="12" spans="2:25" x14ac:dyDescent="0.2">
      <c r="B12" s="14"/>
      <c r="C12" s="7"/>
      <c r="D12" s="229" t="s">
        <v>789</v>
      </c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230">
        <v>7578442</v>
      </c>
      <c r="T12" s="231">
        <v>7578442</v>
      </c>
    </row>
    <row r="13" spans="2:25" x14ac:dyDescent="0.2">
      <c r="B13" s="14"/>
      <c r="C13" s="7"/>
      <c r="D13" s="229" t="s">
        <v>790</v>
      </c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230">
        <v>31475472</v>
      </c>
      <c r="T13" s="231">
        <v>31475472</v>
      </c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1" t="s">
        <v>18</v>
      </c>
      <c r="T47" s="26">
        <v>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2" t="s">
        <v>17</v>
      </c>
      <c r="T48" s="28">
        <f>SUM(T11:T11)</f>
        <v>39053914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41"/>
      <c r="T49" s="14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21" right="0.16" top="0.59055118110236227" bottom="0.74803149606299213" header="0.31496062992125984" footer="0.31496062992125984"/>
  <pageSetup scale="65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zoomScale="115" zoomScaleNormal="115" workbookViewId="0">
      <selection activeCell="D13" sqref="D1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204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6" t="s">
        <v>205</v>
      </c>
      <c r="E11" s="33" t="s">
        <v>140</v>
      </c>
      <c r="F11" s="66"/>
      <c r="G11" s="66"/>
      <c r="H11" s="66"/>
      <c r="I11" s="30"/>
      <c r="J11" s="53">
        <v>3</v>
      </c>
      <c r="K11" s="54">
        <v>2</v>
      </c>
      <c r="L11" s="69">
        <v>1</v>
      </c>
      <c r="M11" s="69"/>
      <c r="N11" s="69"/>
      <c r="O11" s="53">
        <v>1</v>
      </c>
      <c r="P11" s="54">
        <v>2</v>
      </c>
      <c r="Q11" s="54">
        <v>2</v>
      </c>
      <c r="R11" s="53">
        <f>SUM(F11:Q11)</f>
        <v>11</v>
      </c>
      <c r="S11" s="55"/>
      <c r="T11" s="56">
        <f>5000+9860+15000+8177.99+15000+15000+15000+45000</f>
        <v>128037.98999999999</v>
      </c>
    </row>
    <row r="12" spans="2:25" s="45" customFormat="1" x14ac:dyDescent="0.2">
      <c r="B12" s="30">
        <v>2</v>
      </c>
      <c r="C12" s="30" t="s">
        <v>50</v>
      </c>
      <c r="D12" s="36" t="s">
        <v>266</v>
      </c>
      <c r="E12" s="33" t="s">
        <v>140</v>
      </c>
      <c r="F12" s="66"/>
      <c r="G12" s="66"/>
      <c r="H12" s="66"/>
      <c r="I12" s="30">
        <v>2</v>
      </c>
      <c r="J12" s="30"/>
      <c r="K12" s="57"/>
      <c r="L12" s="66"/>
      <c r="M12" s="66"/>
      <c r="N12" s="66"/>
      <c r="O12" s="30"/>
      <c r="P12" s="57"/>
      <c r="Q12" s="57"/>
      <c r="R12" s="30">
        <f>+SUM(F12:Q12)</f>
        <v>2</v>
      </c>
      <c r="S12" s="58"/>
      <c r="T12" s="59">
        <f>8120+6321.99</f>
        <v>14441.99</v>
      </c>
    </row>
    <row r="13" spans="2:25" s="45" customFormat="1" x14ac:dyDescent="0.2">
      <c r="B13" s="30">
        <v>3</v>
      </c>
      <c r="C13" s="30"/>
      <c r="D13" s="213" t="s">
        <v>743</v>
      </c>
      <c r="E13" s="207" t="s">
        <v>505</v>
      </c>
      <c r="F13" s="7"/>
      <c r="G13" s="7"/>
      <c r="H13" s="7"/>
      <c r="I13" s="214">
        <v>1</v>
      </c>
      <c r="J13" s="215"/>
      <c r="K13" s="214"/>
      <c r="L13" s="7">
        <v>1</v>
      </c>
      <c r="M13" s="7"/>
      <c r="N13" s="7"/>
      <c r="O13" s="7"/>
      <c r="P13" s="7"/>
      <c r="Q13" s="7"/>
      <c r="R13" s="7">
        <f t="shared" ref="R13" si="0">SUM(F13:Q13)</f>
        <v>2</v>
      </c>
      <c r="S13" s="209">
        <v>2500</v>
      </c>
      <c r="T13" s="15">
        <f>+R13*S13</f>
        <v>5000</v>
      </c>
    </row>
    <row r="14" spans="2:25" s="45" customFormat="1" x14ac:dyDescent="0.2">
      <c r="B14" s="30">
        <v>4</v>
      </c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1">+SUM(F14:Q14)</f>
        <v>0</v>
      </c>
      <c r="S14" s="58"/>
      <c r="T14" s="59">
        <f>+S14*R14</f>
        <v>0</v>
      </c>
    </row>
    <row r="15" spans="2:25" s="45" customFormat="1" x14ac:dyDescent="0.2">
      <c r="B15" s="30">
        <v>5</v>
      </c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1"/>
        <v>0</v>
      </c>
      <c r="S15" s="58"/>
      <c r="T15" s="59">
        <f t="shared" ref="T15:T24" si="2">+S15*R15</f>
        <v>0</v>
      </c>
    </row>
    <row r="16" spans="2:25" s="45" customFormat="1" x14ac:dyDescent="0.2">
      <c r="B16" s="30">
        <v>6</v>
      </c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1"/>
        <v>0</v>
      </c>
      <c r="S16" s="58"/>
      <c r="T16" s="59">
        <f t="shared" si="2"/>
        <v>0</v>
      </c>
    </row>
    <row r="17" spans="2:20" s="45" customFormat="1" x14ac:dyDescent="0.2">
      <c r="B17" s="30">
        <v>7</v>
      </c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>
        <v>8</v>
      </c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>
        <v>9</v>
      </c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>
        <v>10</v>
      </c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>
        <v>11</v>
      </c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>
        <v>12</v>
      </c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>
        <v>13</v>
      </c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>
        <v>14</v>
      </c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23596.796799999996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171076.77679999999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D12" sqref="D12:T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33.75" x14ac:dyDescent="0.2">
      <c r="B8" s="292" t="s">
        <v>19</v>
      </c>
      <c r="C8" s="292"/>
      <c r="D8" s="80" t="s">
        <v>250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251</v>
      </c>
      <c r="E11" s="33" t="s">
        <v>138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>
        <v>1</v>
      </c>
      <c r="P11" s="54">
        <v>1</v>
      </c>
      <c r="Q11" s="54">
        <v>1</v>
      </c>
      <c r="R11" s="53">
        <f>SUM(F11:Q11)</f>
        <v>4</v>
      </c>
      <c r="S11" s="55"/>
      <c r="T11" s="56">
        <f>5220+13000+35000</f>
        <v>53220</v>
      </c>
    </row>
    <row r="12" spans="2:25" s="45" customFormat="1" x14ac:dyDescent="0.2">
      <c r="B12" s="30"/>
      <c r="C12" s="30"/>
      <c r="D12" s="227" t="s">
        <v>777</v>
      </c>
      <c r="E12" s="30" t="s">
        <v>140</v>
      </c>
      <c r="F12" s="66">
        <v>1</v>
      </c>
      <c r="G12" s="66">
        <v>1</v>
      </c>
      <c r="H12" s="66">
        <v>1</v>
      </c>
      <c r="I12" s="30">
        <v>1</v>
      </c>
      <c r="J12" s="30">
        <v>1</v>
      </c>
      <c r="K12" s="30">
        <v>1</v>
      </c>
      <c r="L12" s="66">
        <v>1</v>
      </c>
      <c r="M12" s="70">
        <v>1</v>
      </c>
      <c r="N12" s="66">
        <v>1</v>
      </c>
      <c r="O12" s="30">
        <v>1</v>
      </c>
      <c r="P12" s="57">
        <v>1</v>
      </c>
      <c r="Q12" s="57">
        <v>1</v>
      </c>
      <c r="R12" s="30">
        <f t="shared" ref="R12" si="0">+SUM(F12:Q12)</f>
        <v>12</v>
      </c>
      <c r="S12" s="95">
        <v>12211</v>
      </c>
      <c r="T12" s="59">
        <f>S12*R12</f>
        <v>146532</v>
      </c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0</v>
      </c>
      <c r="S13" s="58"/>
      <c r="T13" s="59">
        <f>+S13*R13</f>
        <v>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1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1"/>
        <v>0</v>
      </c>
      <c r="S15" s="58"/>
      <c r="T15" s="59">
        <f t="shared" ref="T15:T24" si="2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1"/>
        <v>0</v>
      </c>
      <c r="S16" s="58"/>
      <c r="T16" s="59">
        <f t="shared" si="2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31960.32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231712.32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I4" zoomScaleNormal="100" workbookViewId="0">
      <selection activeCell="S8" sqref="S8:T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246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/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40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2" t="s">
        <v>247</v>
      </c>
      <c r="E11" s="33"/>
      <c r="F11" s="66"/>
      <c r="G11" s="66"/>
      <c r="H11" s="66"/>
      <c r="I11" s="30"/>
      <c r="J11" s="53"/>
      <c r="K11" s="54"/>
      <c r="L11" s="69"/>
      <c r="M11" s="69">
        <v>1</v>
      </c>
      <c r="N11" s="69"/>
      <c r="O11" s="53"/>
      <c r="P11" s="54"/>
      <c r="Q11" s="54"/>
      <c r="R11" s="53">
        <f>SUM(F11:Q11)</f>
        <v>1</v>
      </c>
      <c r="S11" s="55">
        <v>1430.28</v>
      </c>
      <c r="T11" s="56">
        <f>S11*R11</f>
        <v>1430.28</v>
      </c>
    </row>
    <row r="12" spans="2:25" s="45" customFormat="1" x14ac:dyDescent="0.2">
      <c r="B12" s="30">
        <v>2</v>
      </c>
      <c r="C12" s="30" t="s">
        <v>50</v>
      </c>
      <c r="D12" s="32" t="s">
        <v>299</v>
      </c>
      <c r="E12" s="33" t="s">
        <v>85</v>
      </c>
      <c r="F12" s="66"/>
      <c r="G12" s="66"/>
      <c r="H12" s="66"/>
      <c r="I12" s="30"/>
      <c r="J12" s="30"/>
      <c r="K12" s="57"/>
      <c r="L12" s="66"/>
      <c r="M12" s="66"/>
      <c r="N12" s="66">
        <v>3</v>
      </c>
      <c r="O12" s="30"/>
      <c r="P12" s="57"/>
      <c r="Q12" s="57"/>
      <c r="R12" s="30">
        <f>+SUM(F12:Q12)</f>
        <v>3</v>
      </c>
      <c r="S12" s="58">
        <f>+T12/3</f>
        <v>3673.3333333333335</v>
      </c>
      <c r="T12" s="59">
        <v>11020</v>
      </c>
    </row>
    <row r="13" spans="2:25" s="45" customFormat="1" x14ac:dyDescent="0.2">
      <c r="B13" s="30"/>
      <c r="C13" s="30"/>
      <c r="D13" s="32" t="s">
        <v>488</v>
      </c>
      <c r="E13" s="33" t="s">
        <v>85</v>
      </c>
      <c r="F13" s="66">
        <v>4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4</v>
      </c>
      <c r="S13" s="58">
        <v>1250</v>
      </c>
      <c r="T13" s="59">
        <f>+S13*R13</f>
        <v>5000</v>
      </c>
    </row>
    <row r="14" spans="2:25" s="45" customFormat="1" x14ac:dyDescent="0.2">
      <c r="B14" s="30"/>
      <c r="C14" s="30"/>
      <c r="D14" s="32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2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2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2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2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2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2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1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1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1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2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2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17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1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2792.0447999999997</v>
      </c>
    </row>
    <row r="28" spans="2:20" x14ac:dyDescent="0.2">
      <c r="B28" s="13"/>
      <c r="C28" s="13"/>
      <c r="D28" s="1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20242.324799999999</v>
      </c>
    </row>
    <row r="29" spans="2:20" x14ac:dyDescent="0.2">
      <c r="B29" s="13"/>
      <c r="C29" s="13"/>
      <c r="D29" s="1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29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29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D13" sqref="D13:T1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33.75" x14ac:dyDescent="0.2">
      <c r="B8" s="292" t="s">
        <v>19</v>
      </c>
      <c r="C8" s="292"/>
      <c r="D8" s="80" t="s">
        <v>230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6" t="s">
        <v>231</v>
      </c>
      <c r="E11" s="33" t="s">
        <v>140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>
        <v>1</v>
      </c>
      <c r="P11" s="54">
        <v>1</v>
      </c>
      <c r="Q11" s="54">
        <v>1</v>
      </c>
      <c r="R11" s="53">
        <f>SUM(F11:Q11)</f>
        <v>4</v>
      </c>
      <c r="S11" s="55">
        <v>14500</v>
      </c>
      <c r="T11" s="56">
        <f>+S11*R11+50000</f>
        <v>108000</v>
      </c>
    </row>
    <row r="12" spans="2:25" s="45" customFormat="1" ht="13.5" thickBot="1" x14ac:dyDescent="0.25">
      <c r="B12" s="30">
        <v>2</v>
      </c>
      <c r="C12" s="30" t="s">
        <v>50</v>
      </c>
      <c r="D12" s="36" t="s">
        <v>277</v>
      </c>
      <c r="E12" s="33" t="s">
        <v>140</v>
      </c>
      <c r="F12" s="66"/>
      <c r="G12" s="66"/>
      <c r="H12" s="66"/>
      <c r="I12" s="30">
        <v>1</v>
      </c>
      <c r="J12" s="30"/>
      <c r="K12" s="57"/>
      <c r="L12" s="66"/>
      <c r="M12" s="66">
        <v>1</v>
      </c>
      <c r="N12" s="66">
        <v>1</v>
      </c>
      <c r="O12" s="30"/>
      <c r="P12" s="57"/>
      <c r="Q12" s="57"/>
      <c r="R12" s="30">
        <f>+SUM(F12:Q12)</f>
        <v>3</v>
      </c>
      <c r="S12" s="58"/>
      <c r="T12" s="59">
        <f>3399.99+7192+14447.95</f>
        <v>25039.940000000002</v>
      </c>
    </row>
    <row r="13" spans="2:25" s="45" customFormat="1" ht="22.5" x14ac:dyDescent="0.2">
      <c r="B13" s="30"/>
      <c r="C13" s="30"/>
      <c r="D13" s="156" t="s">
        <v>563</v>
      </c>
      <c r="E13" s="135" t="s">
        <v>557</v>
      </c>
      <c r="F13" s="135">
        <v>1</v>
      </c>
      <c r="G13" s="134">
        <v>1</v>
      </c>
      <c r="H13" s="135">
        <v>1</v>
      </c>
      <c r="I13" s="134">
        <v>1</v>
      </c>
      <c r="J13" s="135">
        <v>1</v>
      </c>
      <c r="K13" s="134">
        <v>1</v>
      </c>
      <c r="L13" s="135">
        <v>1</v>
      </c>
      <c r="M13" s="134">
        <v>1</v>
      </c>
      <c r="N13" s="135">
        <v>1</v>
      </c>
      <c r="O13" s="134">
        <v>1</v>
      </c>
      <c r="P13" s="134">
        <v>1</v>
      </c>
      <c r="Q13" s="134">
        <v>1</v>
      </c>
      <c r="R13" s="135">
        <v>1</v>
      </c>
      <c r="S13" s="153">
        <v>120000</v>
      </c>
      <c r="T13" s="138">
        <f>S13*R13</f>
        <v>120000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40486.390400000004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293526.33039999998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I7" zoomScale="115" zoomScaleNormal="115" workbookViewId="0">
      <selection activeCell="T12" sqref="T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45" x14ac:dyDescent="0.2">
      <c r="B8" s="292" t="s">
        <v>19</v>
      </c>
      <c r="C8" s="292"/>
      <c r="D8" s="80" t="s">
        <v>249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6" t="s">
        <v>231</v>
      </c>
      <c r="E11" s="33" t="s">
        <v>138</v>
      </c>
      <c r="F11" s="66"/>
      <c r="G11" s="66"/>
      <c r="H11" s="66"/>
      <c r="I11" s="30"/>
      <c r="J11" s="53"/>
      <c r="K11" s="54"/>
      <c r="L11" s="69">
        <v>2</v>
      </c>
      <c r="M11" s="69"/>
      <c r="N11" s="69"/>
      <c r="O11" s="53">
        <v>1</v>
      </c>
      <c r="P11" s="54">
        <v>1</v>
      </c>
      <c r="Q11" s="54">
        <v>1</v>
      </c>
      <c r="R11" s="53">
        <f>SUM(F11:Q11)</f>
        <v>5</v>
      </c>
      <c r="S11" s="55"/>
      <c r="T11" s="56">
        <f>14500+2691.2+15000</f>
        <v>32191.200000000001</v>
      </c>
    </row>
    <row r="12" spans="2:25" s="45" customFormat="1" x14ac:dyDescent="0.2">
      <c r="B12" s="30"/>
      <c r="C12" s="30"/>
      <c r="D12" s="36"/>
      <c r="E12" s="33"/>
      <c r="F12" s="66"/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0</v>
      </c>
      <c r="S12" s="58"/>
      <c r="T12" s="59">
        <f>+S12*R12</f>
        <v>0</v>
      </c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0</v>
      </c>
      <c r="S13" s="58"/>
      <c r="T13" s="59">
        <f>+S13*R13</f>
        <v>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24" si="0">+SUM(F14:Q14)</f>
        <v>0</v>
      </c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0</v>
      </c>
      <c r="S15" s="58"/>
      <c r="T15" s="59">
        <f t="shared" ref="T15:T24" si="1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0</v>
      </c>
      <c r="S16" s="58"/>
      <c r="T16" s="59">
        <f t="shared" si="1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si="1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5150.5920000000006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37341.792000000001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10" zoomScale="115" zoomScaleNormal="115" workbookViewId="0">
      <selection activeCell="B11" sqref="B11:B18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8554687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33.75" x14ac:dyDescent="0.2">
      <c r="B8" s="292" t="s">
        <v>19</v>
      </c>
      <c r="C8" s="292"/>
      <c r="D8" s="80" t="s">
        <v>338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>
        <v>35301</v>
      </c>
      <c r="D11" s="36" t="s">
        <v>339</v>
      </c>
      <c r="E11" s="33" t="s">
        <v>341</v>
      </c>
      <c r="F11" s="66">
        <v>1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</v>
      </c>
      <c r="S11" s="55"/>
      <c r="T11" s="56">
        <f>1310.8+1276+232+1102+928+1136.8+1167+116+1345.6+2204+974.4+1334+638+197.2+2575.2+3039.2+440.8+1740+1084.2+394+371.2+185.6+185.6+15000</f>
        <v>38977.599999999999</v>
      </c>
    </row>
    <row r="12" spans="2:25" s="45" customFormat="1" ht="25.5" x14ac:dyDescent="0.2">
      <c r="B12" s="30">
        <v>2</v>
      </c>
      <c r="C12" s="30">
        <v>35301</v>
      </c>
      <c r="D12" s="36" t="s">
        <v>340</v>
      </c>
      <c r="E12" s="33" t="s">
        <v>341</v>
      </c>
      <c r="F12" s="66">
        <v>2</v>
      </c>
      <c r="G12" s="66"/>
      <c r="H12" s="66"/>
      <c r="I12" s="30"/>
      <c r="J12" s="30"/>
      <c r="K12" s="57">
        <v>2</v>
      </c>
      <c r="L12" s="66"/>
      <c r="M12" s="66"/>
      <c r="N12" s="66">
        <v>3</v>
      </c>
      <c r="O12" s="30"/>
      <c r="P12" s="57"/>
      <c r="Q12" s="57"/>
      <c r="R12" s="30">
        <f>+SUM(F12:Q12)</f>
        <v>7</v>
      </c>
      <c r="S12" s="58">
        <v>1250</v>
      </c>
      <c r="T12" s="59">
        <f>+S12*R12</f>
        <v>8750</v>
      </c>
    </row>
    <row r="13" spans="2:25" s="45" customFormat="1" ht="25.5" x14ac:dyDescent="0.2">
      <c r="B13" s="30">
        <v>3</v>
      </c>
      <c r="C13" s="30"/>
      <c r="D13" s="36" t="s">
        <v>403</v>
      </c>
      <c r="E13" s="33" t="s">
        <v>404</v>
      </c>
      <c r="F13" s="66">
        <v>10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10</v>
      </c>
      <c r="S13" s="58">
        <v>862.1</v>
      </c>
      <c r="T13" s="59">
        <f>+S13*R13</f>
        <v>8621</v>
      </c>
    </row>
    <row r="14" spans="2:25" s="45" customFormat="1" ht="26.25" thickBot="1" x14ac:dyDescent="0.25">
      <c r="B14" s="30">
        <v>4</v>
      </c>
      <c r="C14" s="30"/>
      <c r="D14" s="36" t="s">
        <v>340</v>
      </c>
      <c r="E14" s="33">
        <v>1</v>
      </c>
      <c r="F14" s="66">
        <v>1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>+SUM(F14:Q14)</f>
        <v>1</v>
      </c>
      <c r="S14" s="58">
        <v>10000</v>
      </c>
      <c r="T14" s="59">
        <f>+S14*R14</f>
        <v>10000</v>
      </c>
    </row>
    <row r="15" spans="2:25" s="45" customFormat="1" x14ac:dyDescent="0.2">
      <c r="B15" s="30">
        <v>5</v>
      </c>
      <c r="C15" s="30"/>
      <c r="D15" s="294" t="s">
        <v>564</v>
      </c>
      <c r="E15" s="297" t="s">
        <v>138</v>
      </c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4"/>
      <c r="Q15" s="134"/>
      <c r="R15" s="297">
        <v>1</v>
      </c>
      <c r="S15" s="300">
        <v>21551.72</v>
      </c>
      <c r="T15" s="303">
        <f>S15*R15</f>
        <v>21551.72</v>
      </c>
    </row>
    <row r="16" spans="2:25" s="45" customFormat="1" x14ac:dyDescent="0.2">
      <c r="B16" s="30">
        <v>6</v>
      </c>
      <c r="C16" s="30"/>
      <c r="D16" s="295"/>
      <c r="E16" s="298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298"/>
      <c r="S16" s="301"/>
      <c r="T16" s="304"/>
    </row>
    <row r="17" spans="2:20" s="45" customFormat="1" ht="13.5" thickBot="1" x14ac:dyDescent="0.25">
      <c r="B17" s="30">
        <v>7</v>
      </c>
      <c r="C17" s="30"/>
      <c r="D17" s="296"/>
      <c r="E17" s="299"/>
      <c r="F17" s="7">
        <v>1</v>
      </c>
      <c r="G17" s="8"/>
      <c r="H17" s="7"/>
      <c r="I17" s="8"/>
      <c r="J17" s="7"/>
      <c r="K17" s="8"/>
      <c r="L17" s="7">
        <v>1</v>
      </c>
      <c r="M17" s="8"/>
      <c r="N17" s="7"/>
      <c r="O17" s="8"/>
      <c r="P17" s="8"/>
      <c r="Q17" s="8"/>
      <c r="R17" s="299"/>
      <c r="S17" s="302"/>
      <c r="T17" s="305"/>
    </row>
    <row r="18" spans="2:20" s="45" customFormat="1" x14ac:dyDescent="0.2">
      <c r="B18" s="30">
        <v>8</v>
      </c>
      <c r="C18" s="135" t="s">
        <v>528</v>
      </c>
      <c r="D18" s="285" t="s">
        <v>859</v>
      </c>
      <c r="E18" s="244" t="s">
        <v>786</v>
      </c>
      <c r="F18" s="135"/>
      <c r="G18" s="135">
        <v>1</v>
      </c>
      <c r="H18" s="135"/>
      <c r="I18" s="135"/>
      <c r="J18" s="135">
        <v>1</v>
      </c>
      <c r="K18" s="135"/>
      <c r="L18" s="135"/>
      <c r="M18" s="135">
        <v>1</v>
      </c>
      <c r="N18" s="135"/>
      <c r="O18" s="135"/>
      <c r="P18" s="135">
        <v>1</v>
      </c>
      <c r="Q18" s="135"/>
      <c r="R18" s="219">
        <f>SUM(F18:Q18)</f>
        <v>4</v>
      </c>
      <c r="S18" s="286">
        <v>1077.586</v>
      </c>
      <c r="T18" s="238">
        <f>S18*R18</f>
        <v>4310.3440000000001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/>
      <c r="S19" s="58"/>
      <c r="T19" s="59">
        <f t="shared" ref="T19:T24" si="0">+S19*R19</f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/>
      <c r="S20" s="58"/>
      <c r="T20" s="59">
        <f t="shared" si="0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>
        <f t="shared" si="0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>
        <f t="shared" si="0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>
        <f t="shared" si="0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>
        <f t="shared" si="0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14753.706240000001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106964.37024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10">
    <mergeCell ref="D15:D17"/>
    <mergeCell ref="E15:E17"/>
    <mergeCell ref="R15:R17"/>
    <mergeCell ref="S15:S17"/>
    <mergeCell ref="T15:T17"/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topLeftCell="B1" zoomScale="90" zoomScaleNormal="90" workbookViewId="0">
      <selection activeCell="D25" sqref="D2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744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206" t="s">
        <v>745</v>
      </c>
      <c r="E11" s="207" t="s">
        <v>505</v>
      </c>
      <c r="F11" s="7"/>
      <c r="G11" s="7"/>
      <c r="H11" s="7"/>
      <c r="I11" s="214">
        <v>1</v>
      </c>
      <c r="J11" s="215"/>
      <c r="K11" s="214"/>
      <c r="L11" s="7"/>
      <c r="M11" s="7"/>
      <c r="N11" s="7"/>
      <c r="O11" s="7"/>
      <c r="P11" s="7"/>
      <c r="Q11" s="7"/>
      <c r="R11" s="7">
        <f t="shared" ref="R11:R14" si="0">SUM(F11:Q11)</f>
        <v>1</v>
      </c>
      <c r="S11" s="209">
        <v>6000</v>
      </c>
      <c r="T11" s="15">
        <f>+R11*S11</f>
        <v>6000</v>
      </c>
    </row>
    <row r="12" spans="2:21" s="183" customFormat="1" ht="11.25" x14ac:dyDescent="0.2">
      <c r="B12" s="14"/>
      <c r="C12" s="7"/>
      <c r="D12" s="194" t="s">
        <v>746</v>
      </c>
      <c r="E12" s="202" t="s">
        <v>747</v>
      </c>
      <c r="F12" s="7"/>
      <c r="G12" s="7"/>
      <c r="H12" s="7">
        <v>1</v>
      </c>
      <c r="I12" s="214"/>
      <c r="J12" s="215"/>
      <c r="K12" s="214"/>
      <c r="L12" s="7"/>
      <c r="M12" s="7"/>
      <c r="N12" s="7">
        <v>1</v>
      </c>
      <c r="O12" s="7"/>
      <c r="P12" s="7"/>
      <c r="Q12" s="7"/>
      <c r="R12" s="7">
        <f t="shared" si="0"/>
        <v>2</v>
      </c>
      <c r="S12" s="217">
        <v>2000</v>
      </c>
      <c r="T12" s="15">
        <f>+R12*S12</f>
        <v>4000</v>
      </c>
    </row>
    <row r="13" spans="2:21" s="183" customFormat="1" ht="22.5" x14ac:dyDescent="0.2">
      <c r="B13" s="14"/>
      <c r="C13" s="7"/>
      <c r="D13" s="199" t="s">
        <v>748</v>
      </c>
      <c r="E13" s="185" t="s">
        <v>747</v>
      </c>
      <c r="F13" s="7"/>
      <c r="G13" s="7"/>
      <c r="H13" s="7">
        <v>1</v>
      </c>
      <c r="I13" s="211"/>
      <c r="J13" s="185"/>
      <c r="K13" s="211"/>
      <c r="L13" s="7"/>
      <c r="M13" s="7"/>
      <c r="N13" s="7">
        <v>1</v>
      </c>
      <c r="O13" s="7"/>
      <c r="P13" s="7"/>
      <c r="Q13" s="7"/>
      <c r="R13" s="7">
        <f t="shared" si="0"/>
        <v>2</v>
      </c>
      <c r="S13" s="218">
        <v>2000</v>
      </c>
      <c r="T13" s="15">
        <f t="shared" ref="T13:T14" si="1">+R13*S13</f>
        <v>4000</v>
      </c>
    </row>
    <row r="14" spans="2:21" x14ac:dyDescent="0.2">
      <c r="B14" s="14"/>
      <c r="C14" s="7"/>
      <c r="D14" s="199" t="s">
        <v>749</v>
      </c>
      <c r="E14" s="185" t="s">
        <v>750</v>
      </c>
      <c r="F14" s="7"/>
      <c r="G14" s="7"/>
      <c r="H14" s="7">
        <v>1</v>
      </c>
      <c r="I14" s="211"/>
      <c r="J14" s="185"/>
      <c r="K14" s="211"/>
      <c r="L14" s="7"/>
      <c r="M14" s="7"/>
      <c r="N14" s="7"/>
      <c r="O14" s="7"/>
      <c r="P14" s="7"/>
      <c r="Q14" s="7"/>
      <c r="R14" s="7">
        <f t="shared" si="0"/>
        <v>1</v>
      </c>
      <c r="S14" s="218">
        <v>3000</v>
      </c>
      <c r="T14" s="15">
        <f t="shared" si="1"/>
        <v>3000</v>
      </c>
    </row>
    <row r="15" spans="2:21" x14ac:dyDescent="0.2">
      <c r="B15" s="14"/>
      <c r="C15" s="7"/>
      <c r="D15" s="178"/>
      <c r="E15" s="210"/>
      <c r="F15" s="7"/>
      <c r="G15" s="7"/>
      <c r="H15" s="7"/>
      <c r="I15" s="211"/>
      <c r="J15" s="185"/>
      <c r="K15" s="7"/>
      <c r="L15" s="7"/>
      <c r="M15" s="7"/>
      <c r="N15" s="7"/>
      <c r="O15" s="7"/>
      <c r="P15" s="7"/>
      <c r="Q15" s="7"/>
      <c r="R15" s="157"/>
      <c r="S15" s="212"/>
      <c r="T15" s="15"/>
    </row>
    <row r="16" spans="2:21" x14ac:dyDescent="0.2">
      <c r="B16" s="14"/>
      <c r="C16" s="7"/>
      <c r="D16" s="178"/>
      <c r="E16" s="210"/>
      <c r="F16" s="7"/>
      <c r="G16" s="7"/>
      <c r="H16" s="7"/>
      <c r="I16" s="211"/>
      <c r="J16" s="185"/>
      <c r="K16" s="7"/>
      <c r="L16" s="7"/>
      <c r="M16" s="7"/>
      <c r="N16" s="7"/>
      <c r="O16" s="7"/>
      <c r="P16" s="7"/>
      <c r="Q16" s="7"/>
      <c r="R16" s="157"/>
      <c r="S16" s="212"/>
      <c r="T16" s="15"/>
    </row>
    <row r="17" spans="2:20" x14ac:dyDescent="0.2">
      <c r="B17" s="14"/>
      <c r="C17" s="7"/>
      <c r="D17" s="178"/>
      <c r="E17" s="210"/>
      <c r="F17" s="7"/>
      <c r="G17" s="7"/>
      <c r="H17" s="7"/>
      <c r="I17" s="211"/>
      <c r="J17" s="185"/>
      <c r="K17" s="7"/>
      <c r="L17" s="7"/>
      <c r="M17" s="7"/>
      <c r="N17" s="7"/>
      <c r="O17" s="7"/>
      <c r="P17" s="7"/>
      <c r="Q17" s="7"/>
      <c r="R17" s="157"/>
      <c r="S17" s="212"/>
      <c r="T17" s="15"/>
    </row>
    <row r="18" spans="2:20" x14ac:dyDescent="0.2">
      <c r="B18" s="14"/>
      <c r="C18" s="7"/>
      <c r="D18" s="178"/>
      <c r="E18" s="210"/>
      <c r="F18" s="7"/>
      <c r="G18" s="7"/>
      <c r="H18" s="7"/>
      <c r="I18" s="211"/>
      <c r="J18" s="185"/>
      <c r="K18" s="7"/>
      <c r="L18" s="7"/>
      <c r="M18" s="7"/>
      <c r="N18" s="7"/>
      <c r="O18" s="7"/>
      <c r="P18" s="7"/>
      <c r="Q18" s="7"/>
      <c r="R18" s="157"/>
      <c r="S18" s="212"/>
      <c r="T18" s="15"/>
    </row>
    <row r="19" spans="2:20" x14ac:dyDescent="0.2">
      <c r="B19" s="14"/>
      <c r="C19" s="7"/>
      <c r="D19" s="178"/>
      <c r="E19" s="210"/>
      <c r="F19" s="7"/>
      <c r="G19" s="8"/>
      <c r="H19" s="7"/>
      <c r="I19" s="211"/>
      <c r="J19" s="185"/>
      <c r="K19" s="8"/>
      <c r="L19" s="7"/>
      <c r="M19" s="8"/>
      <c r="N19" s="7"/>
      <c r="O19" s="8"/>
      <c r="P19" s="8"/>
      <c r="Q19" s="8"/>
      <c r="R19" s="157"/>
      <c r="S19" s="212"/>
      <c r="T19" s="15"/>
    </row>
    <row r="20" spans="2:20" x14ac:dyDescent="0.2">
      <c r="B20" s="14"/>
      <c r="C20" s="7"/>
      <c r="D20" s="178"/>
      <c r="E20" s="210"/>
      <c r="F20" s="7"/>
      <c r="G20" s="8"/>
      <c r="H20" s="7"/>
      <c r="I20" s="211"/>
      <c r="J20" s="185"/>
      <c r="K20" s="8"/>
      <c r="L20" s="7"/>
      <c r="M20" s="8"/>
      <c r="N20" s="7"/>
      <c r="O20" s="8"/>
      <c r="P20" s="8"/>
      <c r="Q20" s="8"/>
      <c r="R20" s="157"/>
      <c r="S20" s="212"/>
      <c r="T20" s="15"/>
    </row>
    <row r="21" spans="2:20" x14ac:dyDescent="0.2">
      <c r="B21" s="14"/>
      <c r="C21" s="7"/>
      <c r="D21" s="184"/>
      <c r="E21" s="185"/>
      <c r="F21" s="7"/>
      <c r="G21" s="8"/>
      <c r="H21" s="7"/>
      <c r="I21" s="8"/>
      <c r="J21" s="185"/>
      <c r="K21" s="8"/>
      <c r="L21" s="7"/>
      <c r="M21" s="8"/>
      <c r="N21" s="7"/>
      <c r="O21" s="8"/>
      <c r="P21" s="8"/>
      <c r="Q21" s="8"/>
      <c r="R21" s="157"/>
      <c r="S21" s="186"/>
      <c r="T21" s="15"/>
    </row>
    <row r="22" spans="2:20" x14ac:dyDescent="0.2">
      <c r="B22" s="14"/>
      <c r="C22" s="7"/>
      <c r="D22" s="184"/>
      <c r="E22" s="185"/>
      <c r="F22" s="7"/>
      <c r="G22" s="8"/>
      <c r="H22" s="7"/>
      <c r="I22" s="8"/>
      <c r="J22" s="185"/>
      <c r="K22" s="8"/>
      <c r="L22" s="7"/>
      <c r="M22" s="8"/>
      <c r="N22" s="7"/>
      <c r="O22" s="8"/>
      <c r="P22" s="8"/>
      <c r="Q22" s="8"/>
      <c r="R22" s="157"/>
      <c r="S22" s="186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57"/>
      <c r="S23" s="186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2720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19720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14" zoomScale="115" zoomScaleNormal="115" workbookViewId="0">
      <selection activeCell="B23" sqref="B23:T23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10.1406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145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>
        <v>35501</v>
      </c>
      <c r="D11" s="36" t="s">
        <v>146</v>
      </c>
      <c r="E11" s="33" t="s">
        <v>138</v>
      </c>
      <c r="F11" s="66">
        <v>6</v>
      </c>
      <c r="G11" s="66">
        <v>1</v>
      </c>
      <c r="H11" s="66">
        <v>4</v>
      </c>
      <c r="I11" s="30">
        <v>7</v>
      </c>
      <c r="J11" s="53">
        <v>1</v>
      </c>
      <c r="K11" s="54">
        <v>1</v>
      </c>
      <c r="L11" s="69">
        <v>6</v>
      </c>
      <c r="M11" s="69">
        <v>3</v>
      </c>
      <c r="N11" s="69"/>
      <c r="O11" s="53">
        <v>1</v>
      </c>
      <c r="P11" s="54">
        <v>1</v>
      </c>
      <c r="Q11" s="54">
        <v>1</v>
      </c>
      <c r="R11" s="53">
        <f>SUM(F11:Q11)</f>
        <v>32</v>
      </c>
      <c r="S11" s="55">
        <v>6500</v>
      </c>
      <c r="T11" s="56">
        <f>R11*S11</f>
        <v>208000</v>
      </c>
    </row>
    <row r="12" spans="2:25" s="45" customFormat="1" x14ac:dyDescent="0.2">
      <c r="B12" s="30">
        <v>2</v>
      </c>
      <c r="C12" s="30">
        <v>35501</v>
      </c>
      <c r="D12" s="36" t="s">
        <v>253</v>
      </c>
      <c r="E12" s="33" t="s">
        <v>138</v>
      </c>
      <c r="F12" s="66"/>
      <c r="G12" s="66"/>
      <c r="H12" s="66"/>
      <c r="I12" s="30"/>
      <c r="J12" s="30"/>
      <c r="K12" s="57"/>
      <c r="L12" s="66"/>
      <c r="M12" s="66"/>
      <c r="N12" s="66">
        <v>1</v>
      </c>
      <c r="O12" s="30"/>
      <c r="P12" s="57"/>
      <c r="Q12" s="57"/>
      <c r="R12" s="30">
        <f>+SUM(F12:Q12)</f>
        <v>1</v>
      </c>
      <c r="S12" s="58">
        <v>1250</v>
      </c>
      <c r="T12" s="59">
        <f>+S12*R12</f>
        <v>1250</v>
      </c>
    </row>
    <row r="13" spans="2:25" s="45" customFormat="1" ht="25.5" x14ac:dyDescent="0.2">
      <c r="B13" s="30"/>
      <c r="C13" s="30"/>
      <c r="D13" s="36" t="s">
        <v>342</v>
      </c>
      <c r="E13" s="33" t="s">
        <v>138</v>
      </c>
      <c r="F13" s="66">
        <v>4</v>
      </c>
      <c r="G13" s="66"/>
      <c r="H13" s="66"/>
      <c r="I13" s="30"/>
      <c r="J13" s="30"/>
      <c r="K13" s="57">
        <v>4</v>
      </c>
      <c r="L13" s="66"/>
      <c r="M13" s="66"/>
      <c r="N13" s="66"/>
      <c r="O13" s="30"/>
      <c r="P13" s="57"/>
      <c r="Q13" s="57"/>
      <c r="R13" s="30">
        <f>+SUM(F13:Q13)</f>
        <v>8</v>
      </c>
      <c r="S13" s="58">
        <v>1248</v>
      </c>
      <c r="T13" s="59">
        <f>+S13*R13</f>
        <v>9984</v>
      </c>
    </row>
    <row r="14" spans="2:25" s="45" customFormat="1" ht="25.5" x14ac:dyDescent="0.2">
      <c r="B14" s="30"/>
      <c r="C14" s="30"/>
      <c r="D14" s="36" t="s">
        <v>343</v>
      </c>
      <c r="E14" s="33" t="s">
        <v>138</v>
      </c>
      <c r="F14" s="66">
        <v>2</v>
      </c>
      <c r="G14" s="66"/>
      <c r="H14" s="66"/>
      <c r="I14" s="30"/>
      <c r="J14" s="30"/>
      <c r="K14" s="57">
        <v>2</v>
      </c>
      <c r="L14" s="66"/>
      <c r="M14" s="66"/>
      <c r="N14" s="66"/>
      <c r="O14" s="30"/>
      <c r="P14" s="57"/>
      <c r="Q14" s="57"/>
      <c r="R14" s="30">
        <f t="shared" ref="R14:R24" si="0">+SUM(F14:Q14)</f>
        <v>4</v>
      </c>
      <c r="S14" s="58">
        <v>988.4</v>
      </c>
      <c r="T14" s="59">
        <f>+S14*R14</f>
        <v>3953.6</v>
      </c>
    </row>
    <row r="15" spans="2:25" s="45" customFormat="1" x14ac:dyDescent="0.2">
      <c r="B15" s="30"/>
      <c r="C15" s="30"/>
      <c r="D15" s="36" t="s">
        <v>344</v>
      </c>
      <c r="E15" s="33" t="s">
        <v>138</v>
      </c>
      <c r="F15" s="66">
        <v>2</v>
      </c>
      <c r="G15" s="66"/>
      <c r="H15" s="66"/>
      <c r="I15" s="30"/>
      <c r="J15" s="30"/>
      <c r="K15" s="57">
        <v>2</v>
      </c>
      <c r="L15" s="66"/>
      <c r="M15" s="66"/>
      <c r="N15" s="66"/>
      <c r="O15" s="30"/>
      <c r="P15" s="57"/>
      <c r="Q15" s="57"/>
      <c r="R15" s="30">
        <f t="shared" si="0"/>
        <v>4</v>
      </c>
      <c r="S15" s="58">
        <v>998.4</v>
      </c>
      <c r="T15" s="59">
        <f t="shared" ref="T15:T24" si="1">+S15*R15</f>
        <v>3993.6</v>
      </c>
    </row>
    <row r="16" spans="2:25" s="45" customFormat="1" x14ac:dyDescent="0.2">
      <c r="B16" s="30"/>
      <c r="C16" s="30"/>
      <c r="D16" s="36" t="s">
        <v>345</v>
      </c>
      <c r="E16" s="33" t="s">
        <v>138</v>
      </c>
      <c r="F16" s="66">
        <v>2</v>
      </c>
      <c r="G16" s="66"/>
      <c r="H16" s="66"/>
      <c r="I16" s="30"/>
      <c r="J16" s="30"/>
      <c r="K16" s="57">
        <v>2</v>
      </c>
      <c r="L16" s="66"/>
      <c r="M16" s="66"/>
      <c r="N16" s="66"/>
      <c r="O16" s="30"/>
      <c r="P16" s="57"/>
      <c r="Q16" s="57"/>
      <c r="R16" s="30">
        <f t="shared" si="0"/>
        <v>4</v>
      </c>
      <c r="S16" s="58">
        <v>707.2</v>
      </c>
      <c r="T16" s="59">
        <f t="shared" si="1"/>
        <v>2828.8</v>
      </c>
    </row>
    <row r="17" spans="2:20" s="45" customFormat="1" x14ac:dyDescent="0.2">
      <c r="B17" s="30"/>
      <c r="C17" s="30"/>
      <c r="D17" s="36" t="s">
        <v>346</v>
      </c>
      <c r="E17" s="33" t="s">
        <v>138</v>
      </c>
      <c r="F17" s="66">
        <v>2</v>
      </c>
      <c r="G17" s="66"/>
      <c r="H17" s="66"/>
      <c r="I17" s="30"/>
      <c r="J17" s="30"/>
      <c r="K17" s="57">
        <v>2</v>
      </c>
      <c r="L17" s="66"/>
      <c r="M17" s="66"/>
      <c r="N17" s="66"/>
      <c r="O17" s="30"/>
      <c r="P17" s="57"/>
      <c r="Q17" s="57"/>
      <c r="R17" s="30">
        <f t="shared" si="0"/>
        <v>4</v>
      </c>
      <c r="S17" s="58">
        <v>884</v>
      </c>
      <c r="T17" s="59">
        <f t="shared" si="1"/>
        <v>3536</v>
      </c>
    </row>
    <row r="18" spans="2:20" s="45" customFormat="1" x14ac:dyDescent="0.2">
      <c r="B18" s="30"/>
      <c r="C18" s="30"/>
      <c r="D18" s="36" t="s">
        <v>347</v>
      </c>
      <c r="E18" s="33" t="s">
        <v>138</v>
      </c>
      <c r="F18" s="66">
        <v>2</v>
      </c>
      <c r="G18" s="66"/>
      <c r="H18" s="66"/>
      <c r="I18" s="30"/>
      <c r="J18" s="30"/>
      <c r="K18" s="57">
        <v>2</v>
      </c>
      <c r="L18" s="66"/>
      <c r="M18" s="66"/>
      <c r="N18" s="66"/>
      <c r="O18" s="30"/>
      <c r="P18" s="57"/>
      <c r="Q18" s="57"/>
      <c r="R18" s="30">
        <f t="shared" si="0"/>
        <v>4</v>
      </c>
      <c r="S18" s="58">
        <v>884</v>
      </c>
      <c r="T18" s="59">
        <f t="shared" si="1"/>
        <v>3536</v>
      </c>
    </row>
    <row r="19" spans="2:20" s="45" customFormat="1" ht="26.25" thickBot="1" x14ac:dyDescent="0.25">
      <c r="B19" s="30"/>
      <c r="C19" s="30"/>
      <c r="D19" s="36" t="s">
        <v>348</v>
      </c>
      <c r="E19" s="33" t="s">
        <v>138</v>
      </c>
      <c r="F19" s="66">
        <v>2</v>
      </c>
      <c r="G19" s="66"/>
      <c r="H19" s="66"/>
      <c r="I19" s="30"/>
      <c r="J19" s="30"/>
      <c r="K19" s="57">
        <v>2</v>
      </c>
      <c r="L19" s="66"/>
      <c r="M19" s="66"/>
      <c r="N19" s="66"/>
      <c r="O19" s="30"/>
      <c r="P19" s="57"/>
      <c r="Q19" s="57"/>
      <c r="R19" s="30">
        <f t="shared" si="0"/>
        <v>4</v>
      </c>
      <c r="S19" s="58">
        <v>977.6</v>
      </c>
      <c r="T19" s="59">
        <f t="shared" si="1"/>
        <v>3910.4</v>
      </c>
    </row>
    <row r="20" spans="2:20" s="45" customFormat="1" x14ac:dyDescent="0.2">
      <c r="B20" s="30"/>
      <c r="C20" s="30"/>
      <c r="D20" s="7" t="s">
        <v>511</v>
      </c>
      <c r="E20" s="7"/>
      <c r="F20" s="135"/>
      <c r="G20" s="134"/>
      <c r="H20" s="135">
        <v>2</v>
      </c>
      <c r="I20" s="134"/>
      <c r="J20" s="135"/>
      <c r="K20" s="134">
        <v>2</v>
      </c>
      <c r="L20" s="135"/>
      <c r="M20" s="134"/>
      <c r="N20" s="135">
        <v>2</v>
      </c>
      <c r="O20" s="134"/>
      <c r="P20" s="134"/>
      <c r="Q20" s="134">
        <v>2</v>
      </c>
      <c r="R20" s="144">
        <v>8</v>
      </c>
      <c r="S20" s="145">
        <v>1734.2</v>
      </c>
      <c r="T20" s="138">
        <f>S20*R20</f>
        <v>13873.6</v>
      </c>
    </row>
    <row r="21" spans="2:20" s="45" customFormat="1" ht="13.5" thickBot="1" x14ac:dyDescent="0.25">
      <c r="B21" s="30"/>
      <c r="C21" s="30"/>
      <c r="D21" s="7" t="s">
        <v>512</v>
      </c>
      <c r="E21" s="7"/>
      <c r="F21" s="7"/>
      <c r="G21" s="8">
        <v>2</v>
      </c>
      <c r="H21" s="7"/>
      <c r="I21" s="8"/>
      <c r="J21" s="7">
        <v>2</v>
      </c>
      <c r="K21" s="8"/>
      <c r="L21" s="7"/>
      <c r="M21" s="8">
        <v>2</v>
      </c>
      <c r="N21" s="7"/>
      <c r="O21" s="8"/>
      <c r="P21" s="8">
        <v>2</v>
      </c>
      <c r="Q21" s="8"/>
      <c r="R21" s="144">
        <v>8</v>
      </c>
      <c r="S21" s="145">
        <v>1020.8</v>
      </c>
      <c r="T21" s="15">
        <f t="shared" ref="T21" si="2">S21*R21</f>
        <v>8166.4</v>
      </c>
    </row>
    <row r="22" spans="2:20" s="45" customFormat="1" ht="23.25" thickBot="1" x14ac:dyDescent="0.25">
      <c r="B22" s="30"/>
      <c r="C22" s="30"/>
      <c r="D22" s="158" t="s">
        <v>565</v>
      </c>
      <c r="E22" s="159" t="s">
        <v>557</v>
      </c>
      <c r="F22" s="7">
        <v>1</v>
      </c>
      <c r="G22" s="8"/>
      <c r="H22" s="7"/>
      <c r="I22" s="8"/>
      <c r="J22" s="7"/>
      <c r="K22" s="8"/>
      <c r="L22" s="7">
        <v>1</v>
      </c>
      <c r="M22" s="8"/>
      <c r="N22" s="7"/>
      <c r="O22" s="8"/>
      <c r="P22" s="8"/>
      <c r="Q22" s="8"/>
      <c r="R22" s="159">
        <v>2</v>
      </c>
      <c r="S22" s="160">
        <v>12931.035</v>
      </c>
      <c r="T22" s="161">
        <f>S22*R22</f>
        <v>25862.07</v>
      </c>
    </row>
    <row r="23" spans="2:20" s="45" customFormat="1" x14ac:dyDescent="0.2">
      <c r="B23" s="131">
        <v>1</v>
      </c>
      <c r="C23" s="135" t="s">
        <v>528</v>
      </c>
      <c r="D23" s="285" t="s">
        <v>859</v>
      </c>
      <c r="E23" s="244" t="s">
        <v>786</v>
      </c>
      <c r="F23" s="135"/>
      <c r="G23" s="135">
        <v>4</v>
      </c>
      <c r="H23" s="135"/>
      <c r="I23" s="135"/>
      <c r="J23" s="135">
        <v>4</v>
      </c>
      <c r="K23" s="135"/>
      <c r="L23" s="135"/>
      <c r="M23" s="135">
        <v>4</v>
      </c>
      <c r="N23" s="135"/>
      <c r="O23" s="135"/>
      <c r="P23" s="135">
        <v>4</v>
      </c>
      <c r="Q23" s="135"/>
      <c r="R23" s="219">
        <f>SUM(F23:Q23)</f>
        <v>16</v>
      </c>
      <c r="S23" s="286">
        <v>1885.7757999999999</v>
      </c>
      <c r="T23" s="238">
        <f>S23*R23</f>
        <v>30172.412799999998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51050.701248000005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370117.58404800005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D14" sqref="D14:T1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208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209</v>
      </c>
      <c r="E11" s="33" t="s">
        <v>138</v>
      </c>
      <c r="F11" s="66"/>
      <c r="G11" s="66"/>
      <c r="H11" s="66"/>
      <c r="I11" s="30"/>
      <c r="J11" s="53">
        <v>1</v>
      </c>
      <c r="K11" s="54">
        <v>2</v>
      </c>
      <c r="L11" s="69"/>
      <c r="M11" s="69"/>
      <c r="N11" s="69"/>
      <c r="O11" s="53">
        <v>1</v>
      </c>
      <c r="P11" s="54">
        <v>1</v>
      </c>
      <c r="Q11" s="54">
        <v>1</v>
      </c>
      <c r="R11" s="53">
        <f>SUM(F11:Q11)</f>
        <v>6</v>
      </c>
      <c r="S11" s="55"/>
      <c r="T11" s="56">
        <f>2858.21+899.99+9280+15000</f>
        <v>28038.2</v>
      </c>
    </row>
    <row r="12" spans="2:25" s="45" customFormat="1" x14ac:dyDescent="0.2">
      <c r="B12" s="30">
        <v>2</v>
      </c>
      <c r="C12" s="30" t="s">
        <v>50</v>
      </c>
      <c r="D12" s="36" t="s">
        <v>229</v>
      </c>
      <c r="E12" s="33" t="s">
        <v>138</v>
      </c>
      <c r="F12" s="66"/>
      <c r="G12" s="66"/>
      <c r="H12" s="66"/>
      <c r="I12" s="30"/>
      <c r="J12" s="30"/>
      <c r="K12" s="57">
        <v>1</v>
      </c>
      <c r="L12" s="66"/>
      <c r="M12" s="66"/>
      <c r="N12" s="66"/>
      <c r="O12" s="30"/>
      <c r="P12" s="57"/>
      <c r="Q12" s="57"/>
      <c r="R12" s="30">
        <f>+SUM(F12:Q12)</f>
        <v>1</v>
      </c>
      <c r="S12" s="58">
        <v>2858.21</v>
      </c>
      <c r="T12" s="59">
        <f>+S12*R12</f>
        <v>2858.21</v>
      </c>
    </row>
    <row r="13" spans="2:25" s="45" customFormat="1" x14ac:dyDescent="0.2">
      <c r="B13" s="30">
        <v>3</v>
      </c>
      <c r="C13" s="30" t="s">
        <v>50</v>
      </c>
      <c r="D13" s="36" t="s">
        <v>252</v>
      </c>
      <c r="E13" s="33" t="s">
        <v>138</v>
      </c>
      <c r="F13" s="66"/>
      <c r="G13" s="66"/>
      <c r="H13" s="66"/>
      <c r="I13" s="30"/>
      <c r="J13" s="30"/>
      <c r="K13" s="57"/>
      <c r="L13" s="66"/>
      <c r="M13" s="66"/>
      <c r="N13" s="66">
        <v>1</v>
      </c>
      <c r="O13" s="30"/>
      <c r="P13" s="57"/>
      <c r="Q13" s="57"/>
      <c r="R13" s="30">
        <f>+SUM(F13:Q13)</f>
        <v>1</v>
      </c>
      <c r="S13" s="58">
        <v>4872</v>
      </c>
      <c r="T13" s="59">
        <f>+S13*R13</f>
        <v>4872</v>
      </c>
    </row>
    <row r="14" spans="2:25" s="45" customFormat="1" x14ac:dyDescent="0.2">
      <c r="B14" s="30"/>
      <c r="C14" s="30"/>
      <c r="D14" s="227" t="s">
        <v>746</v>
      </c>
      <c r="E14" s="30" t="s">
        <v>140</v>
      </c>
      <c r="F14" s="66">
        <v>1</v>
      </c>
      <c r="G14" s="66">
        <v>1</v>
      </c>
      <c r="H14" s="66">
        <v>1</v>
      </c>
      <c r="I14" s="30">
        <v>1</v>
      </c>
      <c r="J14" s="30">
        <v>1</v>
      </c>
      <c r="K14" s="30">
        <v>1</v>
      </c>
      <c r="L14" s="66">
        <v>1</v>
      </c>
      <c r="M14" s="70">
        <v>1</v>
      </c>
      <c r="N14" s="66">
        <v>1</v>
      </c>
      <c r="O14" s="30">
        <v>1</v>
      </c>
      <c r="P14" s="57">
        <v>1</v>
      </c>
      <c r="Q14" s="57">
        <v>1</v>
      </c>
      <c r="R14" s="30">
        <f t="shared" ref="R14" si="0">+SUM(F14:Q14)</f>
        <v>12</v>
      </c>
      <c r="S14" s="95">
        <v>3591.92</v>
      </c>
      <c r="T14" s="59">
        <f>S14*R14</f>
        <v>43103.040000000001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ref="R15:R24" si="1">+SUM(F15:Q15)</f>
        <v>0</v>
      </c>
      <c r="S15" s="58"/>
      <c r="T15" s="59">
        <f t="shared" ref="T15:T24" si="2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1"/>
        <v>0</v>
      </c>
      <c r="S16" s="58"/>
      <c r="T16" s="59">
        <f t="shared" si="2"/>
        <v>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1"/>
        <v>0</v>
      </c>
      <c r="S17" s="58"/>
      <c r="T17" s="59">
        <f t="shared" si="2"/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1"/>
        <v>0</v>
      </c>
      <c r="S18" s="58"/>
      <c r="T18" s="59">
        <f t="shared" si="2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1"/>
        <v>0</v>
      </c>
      <c r="S19" s="58"/>
      <c r="T19" s="59">
        <f t="shared" si="2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1"/>
        <v>0</v>
      </c>
      <c r="S20" s="58"/>
      <c r="T20" s="59">
        <f t="shared" si="2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1"/>
        <v>0</v>
      </c>
      <c r="S21" s="58"/>
      <c r="T21" s="59">
        <f t="shared" si="2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1"/>
        <v>0</v>
      </c>
      <c r="S22" s="58"/>
      <c r="T22" s="59">
        <f t="shared" si="2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1"/>
        <v>0</v>
      </c>
      <c r="S23" s="58"/>
      <c r="T23" s="59">
        <f t="shared" si="2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1"/>
        <v>0</v>
      </c>
      <c r="S24" s="58"/>
      <c r="T24" s="59">
        <f t="shared" si="2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12619.432000000003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91490.882000000012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13" zoomScale="115" zoomScaleNormal="115" workbookViewId="0">
      <selection activeCell="D20" sqref="D20:D2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45" x14ac:dyDescent="0.2">
      <c r="B8" s="292" t="s">
        <v>19</v>
      </c>
      <c r="C8" s="292"/>
      <c r="D8" s="80" t="s">
        <v>405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406</v>
      </c>
      <c r="E11" s="33" t="s">
        <v>85</v>
      </c>
      <c r="F11" s="66">
        <v>2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2</v>
      </c>
      <c r="S11" s="55">
        <v>480</v>
      </c>
      <c r="T11" s="56">
        <f>2858.21+899.99+9280+15000</f>
        <v>28038.2</v>
      </c>
    </row>
    <row r="12" spans="2:25" s="45" customFormat="1" x14ac:dyDescent="0.2">
      <c r="B12" s="30">
        <v>2</v>
      </c>
      <c r="C12" s="30" t="s">
        <v>50</v>
      </c>
      <c r="D12" s="36" t="s">
        <v>407</v>
      </c>
      <c r="E12" s="33" t="s">
        <v>85</v>
      </c>
      <c r="F12" s="66">
        <v>2</v>
      </c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2</v>
      </c>
      <c r="S12" s="58">
        <v>550</v>
      </c>
      <c r="T12" s="59">
        <f>+S12*R12</f>
        <v>1100</v>
      </c>
    </row>
    <row r="13" spans="2:25" s="45" customFormat="1" x14ac:dyDescent="0.2">
      <c r="B13" s="30">
        <v>3</v>
      </c>
      <c r="C13" s="30" t="s">
        <v>50</v>
      </c>
      <c r="D13" s="36" t="s">
        <v>408</v>
      </c>
      <c r="E13" s="33" t="s">
        <v>85</v>
      </c>
      <c r="F13" s="66">
        <v>10</v>
      </c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10</v>
      </c>
      <c r="S13" s="58">
        <v>180</v>
      </c>
      <c r="T13" s="59">
        <f>+S13*R13</f>
        <v>1800</v>
      </c>
    </row>
    <row r="14" spans="2:25" s="45" customFormat="1" x14ac:dyDescent="0.2">
      <c r="B14" s="30"/>
      <c r="C14" s="30"/>
      <c r="D14" s="36" t="s">
        <v>409</v>
      </c>
      <c r="E14" s="33" t="s">
        <v>85</v>
      </c>
      <c r="F14" s="66">
        <v>5</v>
      </c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19" si="0">+SUM(F14:Q14)</f>
        <v>5</v>
      </c>
      <c r="S14" s="58">
        <v>220</v>
      </c>
      <c r="T14" s="59">
        <f>+S14*R14</f>
        <v>1100</v>
      </c>
    </row>
    <row r="15" spans="2:25" s="45" customFormat="1" x14ac:dyDescent="0.2">
      <c r="B15" s="30"/>
      <c r="C15" s="30"/>
      <c r="D15" s="36" t="s">
        <v>410</v>
      </c>
      <c r="E15" s="33" t="s">
        <v>85</v>
      </c>
      <c r="F15" s="66">
        <v>5</v>
      </c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5</v>
      </c>
      <c r="S15" s="58">
        <v>173</v>
      </c>
      <c r="T15" s="59">
        <f t="shared" ref="T15:T19" si="1">+S15*R15</f>
        <v>865</v>
      </c>
    </row>
    <row r="16" spans="2:25" s="45" customFormat="1" x14ac:dyDescent="0.2">
      <c r="B16" s="30"/>
      <c r="C16" s="30"/>
      <c r="D16" s="36" t="s">
        <v>411</v>
      </c>
      <c r="E16" s="33" t="s">
        <v>85</v>
      </c>
      <c r="F16" s="66">
        <v>1</v>
      </c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>
        <f t="shared" si="0"/>
        <v>1</v>
      </c>
      <c r="S16" s="58">
        <v>950.29</v>
      </c>
      <c r="T16" s="59">
        <f t="shared" si="1"/>
        <v>950.29</v>
      </c>
    </row>
    <row r="17" spans="2:20" s="45" customFormat="1" x14ac:dyDescent="0.2">
      <c r="B17" s="30"/>
      <c r="C17" s="30"/>
      <c r="D17" s="36" t="s">
        <v>412</v>
      </c>
      <c r="E17" s="33" t="s">
        <v>85</v>
      </c>
      <c r="F17" s="66">
        <v>15</v>
      </c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15</v>
      </c>
      <c r="S17" s="58">
        <v>123</v>
      </c>
      <c r="T17" s="59">
        <f t="shared" si="1"/>
        <v>1845</v>
      </c>
    </row>
    <row r="18" spans="2:20" s="45" customFormat="1" x14ac:dyDescent="0.2">
      <c r="B18" s="30"/>
      <c r="C18" s="30"/>
      <c r="D18" s="36" t="s">
        <v>413</v>
      </c>
      <c r="E18" s="33" t="s">
        <v>85</v>
      </c>
      <c r="F18" s="66">
        <v>5</v>
      </c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5</v>
      </c>
      <c r="S18" s="58">
        <v>1800</v>
      </c>
      <c r="T18" s="59">
        <f t="shared" si="1"/>
        <v>9000</v>
      </c>
    </row>
    <row r="19" spans="2:20" s="45" customFormat="1" ht="13.5" thickBot="1" x14ac:dyDescent="0.25">
      <c r="B19" s="30"/>
      <c r="C19" s="30"/>
      <c r="D19" s="36" t="s">
        <v>414</v>
      </c>
      <c r="E19" s="33" t="s">
        <v>85</v>
      </c>
      <c r="F19" s="66">
        <v>100</v>
      </c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100</v>
      </c>
      <c r="S19" s="58">
        <v>130.51</v>
      </c>
      <c r="T19" s="59">
        <f t="shared" si="1"/>
        <v>13051</v>
      </c>
    </row>
    <row r="20" spans="2:20" s="45" customFormat="1" x14ac:dyDescent="0.2">
      <c r="B20" s="30"/>
      <c r="C20" s="30"/>
      <c r="D20" s="139" t="s">
        <v>513</v>
      </c>
      <c r="E20" s="7" t="s">
        <v>514</v>
      </c>
      <c r="F20" s="135"/>
      <c r="G20" s="134">
        <v>8</v>
      </c>
      <c r="H20" s="135"/>
      <c r="I20" s="134"/>
      <c r="J20" s="135"/>
      <c r="K20" s="134"/>
      <c r="L20" s="135"/>
      <c r="M20" s="134"/>
      <c r="N20" s="135"/>
      <c r="O20" s="134"/>
      <c r="P20" s="134"/>
      <c r="Q20" s="134"/>
      <c r="R20" s="144">
        <v>8</v>
      </c>
      <c r="S20" s="152">
        <v>2700</v>
      </c>
      <c r="T20" s="138">
        <f>S20*R20</f>
        <v>21600</v>
      </c>
    </row>
    <row r="21" spans="2:20" s="45" customFormat="1" x14ac:dyDescent="0.2">
      <c r="B21" s="30"/>
      <c r="C21" s="30"/>
      <c r="D21" s="139" t="s">
        <v>515</v>
      </c>
      <c r="E21" s="7" t="s">
        <v>516</v>
      </c>
      <c r="F21" s="7"/>
      <c r="G21" s="8">
        <v>8</v>
      </c>
      <c r="H21" s="7"/>
      <c r="I21" s="8"/>
      <c r="J21" s="7"/>
      <c r="K21" s="8"/>
      <c r="L21" s="7"/>
      <c r="M21" s="8"/>
      <c r="N21" s="7"/>
      <c r="O21" s="8"/>
      <c r="P21" s="8"/>
      <c r="Q21" s="8"/>
      <c r="R21" s="144">
        <v>8</v>
      </c>
      <c r="S21" s="152">
        <v>3047.125</v>
      </c>
      <c r="T21" s="15">
        <f t="shared" ref="T21" si="2">S21*R21</f>
        <v>24377</v>
      </c>
    </row>
    <row r="22" spans="2:20" s="45" customFormat="1" x14ac:dyDescent="0.2">
      <c r="B22" s="30"/>
      <c r="C22" s="30"/>
      <c r="D22" s="31" t="s">
        <v>778</v>
      </c>
      <c r="E22" s="30" t="s">
        <v>52</v>
      </c>
      <c r="F22" s="66"/>
      <c r="G22" s="66">
        <v>10</v>
      </c>
      <c r="H22" s="66"/>
      <c r="I22" s="30"/>
      <c r="J22" s="30"/>
      <c r="K22" s="30"/>
      <c r="L22" s="66">
        <v>10</v>
      </c>
      <c r="M22" s="70"/>
      <c r="N22" s="66">
        <v>10</v>
      </c>
      <c r="O22" s="30"/>
      <c r="P22" s="57">
        <v>5</v>
      </c>
      <c r="Q22" s="57"/>
      <c r="R22" s="30">
        <f t="shared" ref="R22:R25" si="3">+SUM(F22:Q22)</f>
        <v>35</v>
      </c>
      <c r="S22" s="95">
        <v>120</v>
      </c>
      <c r="T22" s="59">
        <f t="shared" ref="T22:T25" si="4">+S22*R22</f>
        <v>4200</v>
      </c>
    </row>
    <row r="23" spans="2:20" s="45" customFormat="1" x14ac:dyDescent="0.2">
      <c r="B23" s="30"/>
      <c r="C23" s="30"/>
      <c r="D23" s="224" t="s">
        <v>779</v>
      </c>
      <c r="E23" s="30" t="s">
        <v>52</v>
      </c>
      <c r="F23" s="66"/>
      <c r="G23" s="66">
        <v>20</v>
      </c>
      <c r="H23" s="66"/>
      <c r="I23" s="30"/>
      <c r="J23" s="30"/>
      <c r="K23" s="30"/>
      <c r="L23" s="66">
        <v>20</v>
      </c>
      <c r="M23" s="70"/>
      <c r="N23" s="66"/>
      <c r="O23" s="30"/>
      <c r="P23" s="57"/>
      <c r="Q23" s="57"/>
      <c r="R23" s="30">
        <f t="shared" si="3"/>
        <v>40</v>
      </c>
      <c r="S23" s="95">
        <v>40</v>
      </c>
      <c r="T23" s="59">
        <f t="shared" si="4"/>
        <v>1600</v>
      </c>
    </row>
    <row r="24" spans="2:20" s="45" customFormat="1" x14ac:dyDescent="0.2">
      <c r="B24" s="30"/>
      <c r="C24" s="30"/>
      <c r="D24" s="31" t="s">
        <v>780</v>
      </c>
      <c r="E24" s="30" t="s">
        <v>53</v>
      </c>
      <c r="F24" s="66"/>
      <c r="G24" s="66">
        <v>1</v>
      </c>
      <c r="H24" s="66"/>
      <c r="I24" s="30"/>
      <c r="J24" s="30"/>
      <c r="K24" s="30"/>
      <c r="L24" s="66"/>
      <c r="M24" s="70"/>
      <c r="N24" s="66"/>
      <c r="O24" s="30"/>
      <c r="P24" s="57"/>
      <c r="Q24" s="57"/>
      <c r="R24" s="30">
        <f t="shared" si="3"/>
        <v>1</v>
      </c>
      <c r="S24" s="95">
        <v>3641.5</v>
      </c>
      <c r="T24" s="59">
        <f t="shared" si="4"/>
        <v>3641.5</v>
      </c>
    </row>
    <row r="25" spans="2:20" x14ac:dyDescent="0.2">
      <c r="B25" s="30"/>
      <c r="C25" s="7"/>
      <c r="D25" s="31" t="s">
        <v>781</v>
      </c>
      <c r="E25" s="30" t="s">
        <v>52</v>
      </c>
      <c r="F25" s="66"/>
      <c r="G25" s="66">
        <v>50</v>
      </c>
      <c r="H25" s="66"/>
      <c r="I25" s="30"/>
      <c r="J25" s="30"/>
      <c r="K25" s="30">
        <v>100</v>
      </c>
      <c r="L25" s="66"/>
      <c r="M25" s="70"/>
      <c r="N25" s="66">
        <v>100</v>
      </c>
      <c r="O25" s="30"/>
      <c r="P25" s="57">
        <v>50</v>
      </c>
      <c r="Q25" s="57"/>
      <c r="R25" s="30">
        <f t="shared" si="3"/>
        <v>300</v>
      </c>
      <c r="S25" s="95">
        <v>26</v>
      </c>
      <c r="T25" s="59">
        <f t="shared" si="4"/>
        <v>7800</v>
      </c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19354.878399999998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140322.86839999998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4" zoomScale="115" zoomScaleNormal="115" workbookViewId="0">
      <selection activeCell="I22" sqref="I2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136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198</v>
      </c>
      <c r="E11" s="33"/>
      <c r="F11" s="66">
        <v>3</v>
      </c>
      <c r="G11" s="66"/>
      <c r="H11" s="66"/>
      <c r="I11" s="30"/>
      <c r="J11" s="53"/>
      <c r="K11" s="54"/>
      <c r="L11" s="69"/>
      <c r="M11" s="69">
        <v>4</v>
      </c>
      <c r="N11" s="69">
        <v>1</v>
      </c>
      <c r="O11" s="53">
        <v>1</v>
      </c>
      <c r="P11" s="54">
        <v>3</v>
      </c>
      <c r="Q11" s="54">
        <v>3</v>
      </c>
      <c r="R11" s="53">
        <f>SUM(F11:Q11)</f>
        <v>15</v>
      </c>
      <c r="S11" s="55"/>
      <c r="T11" s="56">
        <f>3850+1446.98+938.02+1481.78+1481.78+1427.4+804.08+5412+5412</f>
        <v>22254.04</v>
      </c>
    </row>
    <row r="12" spans="2:25" s="45" customFormat="1" x14ac:dyDescent="0.2">
      <c r="B12" s="30">
        <v>2</v>
      </c>
      <c r="C12" s="30" t="s">
        <v>50</v>
      </c>
      <c r="D12" s="36" t="s">
        <v>198</v>
      </c>
      <c r="E12" s="33"/>
      <c r="F12" s="66"/>
      <c r="G12" s="66"/>
      <c r="H12" s="66">
        <v>3</v>
      </c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3</v>
      </c>
      <c r="S12" s="58"/>
      <c r="T12" s="59">
        <f>3431.46+1249+2512.65</f>
        <v>7193.1100000000006</v>
      </c>
    </row>
    <row r="13" spans="2:25" s="45" customFormat="1" x14ac:dyDescent="0.2">
      <c r="B13" s="30">
        <v>3</v>
      </c>
      <c r="C13" s="30" t="s">
        <v>50</v>
      </c>
      <c r="D13" s="36" t="s">
        <v>198</v>
      </c>
      <c r="E13" s="33"/>
      <c r="F13" s="66"/>
      <c r="G13" s="66"/>
      <c r="H13" s="66"/>
      <c r="I13" s="30">
        <v>1</v>
      </c>
      <c r="J13" s="30">
        <v>2</v>
      </c>
      <c r="K13" s="57"/>
      <c r="L13" s="66"/>
      <c r="M13" s="66"/>
      <c r="N13" s="66"/>
      <c r="O13" s="30"/>
      <c r="P13" s="57"/>
      <c r="Q13" s="57"/>
      <c r="R13" s="30">
        <f>+SUM(F13:Q13)</f>
        <v>3</v>
      </c>
      <c r="S13" s="58"/>
      <c r="T13" s="59">
        <f>1438.71+3440.56+2274.44</f>
        <v>7153.7100000000009</v>
      </c>
    </row>
    <row r="14" spans="2:25" s="45" customFormat="1" ht="26.25" thickBot="1" x14ac:dyDescent="0.25">
      <c r="B14" s="30">
        <v>4</v>
      </c>
      <c r="C14" s="30" t="s">
        <v>50</v>
      </c>
      <c r="D14" s="36" t="s">
        <v>211</v>
      </c>
      <c r="E14" s="33"/>
      <c r="F14" s="66"/>
      <c r="G14" s="66"/>
      <c r="H14" s="66"/>
      <c r="I14" s="30"/>
      <c r="J14" s="30"/>
      <c r="K14" s="57"/>
      <c r="L14" s="66">
        <v>2</v>
      </c>
      <c r="M14" s="66"/>
      <c r="N14" s="66"/>
      <c r="O14" s="30"/>
      <c r="P14" s="57"/>
      <c r="Q14" s="57"/>
      <c r="R14" s="30">
        <f t="shared" ref="R14:R24" si="0">+SUM(F14:Q14)</f>
        <v>2</v>
      </c>
      <c r="S14" s="58"/>
      <c r="T14" s="59">
        <f>18560+1825.87</f>
        <v>20385.87</v>
      </c>
    </row>
    <row r="15" spans="2:25" s="45" customFormat="1" ht="13.5" thickBot="1" x14ac:dyDescent="0.25">
      <c r="B15" s="30"/>
      <c r="C15" s="30"/>
      <c r="D15" s="143" t="s">
        <v>517</v>
      </c>
      <c r="E15" s="7" t="s">
        <v>518</v>
      </c>
      <c r="F15" s="135"/>
      <c r="G15" s="134"/>
      <c r="H15" s="135">
        <v>1</v>
      </c>
      <c r="I15" s="134"/>
      <c r="J15" s="135">
        <v>1</v>
      </c>
      <c r="K15" s="134"/>
      <c r="L15" s="135">
        <v>1</v>
      </c>
      <c r="M15" s="134"/>
      <c r="N15" s="135">
        <v>1</v>
      </c>
      <c r="O15" s="134"/>
      <c r="P15" s="134"/>
      <c r="Q15" s="134"/>
      <c r="R15" s="144">
        <v>4</v>
      </c>
      <c r="S15" s="145">
        <v>5021.47</v>
      </c>
      <c r="T15" s="138">
        <f>S15*R15</f>
        <v>20085.88</v>
      </c>
    </row>
    <row r="16" spans="2:25" s="45" customFormat="1" x14ac:dyDescent="0.2">
      <c r="B16" s="30"/>
      <c r="C16" s="30"/>
      <c r="D16" s="135" t="s">
        <v>566</v>
      </c>
      <c r="E16" s="135" t="s">
        <v>557</v>
      </c>
      <c r="F16" s="135">
        <v>1</v>
      </c>
      <c r="G16" s="134"/>
      <c r="H16" s="135"/>
      <c r="I16" s="134"/>
      <c r="J16" s="135"/>
      <c r="K16" s="134"/>
      <c r="L16" s="135"/>
      <c r="M16" s="134">
        <v>1</v>
      </c>
      <c r="N16" s="135"/>
      <c r="O16" s="134"/>
      <c r="P16" s="134"/>
      <c r="Q16" s="134"/>
      <c r="R16" s="135">
        <v>2</v>
      </c>
      <c r="S16" s="153">
        <v>7500</v>
      </c>
      <c r="T16" s="138">
        <f>S16*R16</f>
        <v>15000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>
        <f t="shared" si="0"/>
        <v>0</v>
      </c>
      <c r="S17" s="58"/>
      <c r="T17" s="59">
        <f t="shared" ref="T17:T24" si="1">+S17*R17</f>
        <v>0</v>
      </c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>
        <f t="shared" si="0"/>
        <v>0</v>
      </c>
      <c r="S18" s="58"/>
      <c r="T18" s="59">
        <f t="shared" si="1"/>
        <v>0</v>
      </c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0</v>
      </c>
      <c r="S19" s="58"/>
      <c r="T19" s="59">
        <f t="shared" si="1"/>
        <v>0</v>
      </c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>
        <f t="shared" si="0"/>
        <v>0</v>
      </c>
      <c r="S20" s="58"/>
      <c r="T20" s="59">
        <f t="shared" si="1"/>
        <v>0</v>
      </c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>
        <f t="shared" si="0"/>
        <v>0</v>
      </c>
      <c r="S21" s="58"/>
      <c r="T21" s="59">
        <f t="shared" si="1"/>
        <v>0</v>
      </c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>
        <f t="shared" si="0"/>
        <v>0</v>
      </c>
      <c r="S22" s="58"/>
      <c r="T22" s="59">
        <f t="shared" si="1"/>
        <v>0</v>
      </c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>
        <f t="shared" si="0"/>
        <v>0</v>
      </c>
      <c r="S23" s="58"/>
      <c r="T23" s="59">
        <f t="shared" si="1"/>
        <v>0</v>
      </c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>
        <f t="shared" si="0"/>
        <v>0</v>
      </c>
      <c r="S24" s="58"/>
      <c r="T24" s="59">
        <f t="shared" si="1"/>
        <v>0</v>
      </c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+SUM(T11:T26)*0.16</f>
        <v>14731.6176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106804.2276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6"/>
  <sheetViews>
    <sheetView topLeftCell="K12" zoomScale="115" zoomScaleNormal="115" workbookViewId="0">
      <selection activeCell="B22" sqref="B22:B2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137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25.5" x14ac:dyDescent="0.2">
      <c r="B11" s="30">
        <v>1</v>
      </c>
      <c r="C11" s="30" t="s">
        <v>50</v>
      </c>
      <c r="D11" s="36" t="s">
        <v>139</v>
      </c>
      <c r="E11" s="33" t="s">
        <v>151</v>
      </c>
      <c r="F11" s="66"/>
      <c r="G11" s="66">
        <v>42</v>
      </c>
      <c r="H11" s="66">
        <v>21</v>
      </c>
      <c r="I11" s="30">
        <v>26</v>
      </c>
      <c r="J11" s="53">
        <v>15</v>
      </c>
      <c r="K11" s="54">
        <f>52+25</f>
        <v>77</v>
      </c>
      <c r="L11" s="69">
        <v>39</v>
      </c>
      <c r="M11" s="69">
        <f>63+5</f>
        <v>68</v>
      </c>
      <c r="N11" s="69">
        <f>48+9</f>
        <v>57</v>
      </c>
      <c r="O11" s="53">
        <v>65</v>
      </c>
      <c r="P11" s="54">
        <v>75</v>
      </c>
      <c r="Q11" s="54">
        <v>80</v>
      </c>
      <c r="R11" s="53">
        <f>SUM(F11:Q11)</f>
        <v>565</v>
      </c>
      <c r="S11" s="55">
        <v>107</v>
      </c>
      <c r="T11" s="56">
        <f>S11*R11</f>
        <v>60455</v>
      </c>
    </row>
    <row r="12" spans="2:25" s="45" customFormat="1" ht="25.5" x14ac:dyDescent="0.2">
      <c r="B12" s="30">
        <v>2</v>
      </c>
      <c r="C12" s="30" t="s">
        <v>50</v>
      </c>
      <c r="D12" s="36" t="s">
        <v>139</v>
      </c>
      <c r="E12" s="33" t="s">
        <v>151</v>
      </c>
      <c r="F12" s="66"/>
      <c r="G12" s="66">
        <v>26</v>
      </c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26</v>
      </c>
      <c r="S12" s="58">
        <v>53</v>
      </c>
      <c r="T12" s="59">
        <f>+S12*R12</f>
        <v>1378</v>
      </c>
    </row>
    <row r="13" spans="2:25" s="45" customFormat="1" x14ac:dyDescent="0.2">
      <c r="B13" s="30">
        <v>3</v>
      </c>
      <c r="C13" s="30" t="s">
        <v>50</v>
      </c>
      <c r="D13" s="36" t="s">
        <v>147</v>
      </c>
      <c r="E13" s="33" t="s">
        <v>151</v>
      </c>
      <c r="F13" s="66"/>
      <c r="G13" s="66">
        <v>2</v>
      </c>
      <c r="H13" s="66">
        <v>1</v>
      </c>
      <c r="I13" s="30"/>
      <c r="J13" s="30"/>
      <c r="K13" s="57"/>
      <c r="L13" s="66">
        <v>2</v>
      </c>
      <c r="M13" s="66">
        <v>1</v>
      </c>
      <c r="N13" s="66"/>
      <c r="O13" s="30"/>
      <c r="P13" s="57"/>
      <c r="Q13" s="57"/>
      <c r="R13" s="30">
        <f>+SUM(F13:Q13)</f>
        <v>6</v>
      </c>
      <c r="S13" s="58">
        <v>455</v>
      </c>
      <c r="T13" s="59">
        <f>+S13*R13</f>
        <v>2730</v>
      </c>
    </row>
    <row r="14" spans="2:25" s="45" customFormat="1" ht="25.5" x14ac:dyDescent="0.2">
      <c r="B14" s="30">
        <v>4</v>
      </c>
      <c r="C14" s="30" t="s">
        <v>50</v>
      </c>
      <c r="D14" s="36" t="s">
        <v>150</v>
      </c>
      <c r="E14" s="33" t="s">
        <v>151</v>
      </c>
      <c r="F14" s="66"/>
      <c r="G14" s="66">
        <v>2</v>
      </c>
      <c r="H14" s="66"/>
      <c r="I14" s="30"/>
      <c r="J14" s="30"/>
      <c r="K14" s="57"/>
      <c r="L14" s="66">
        <v>2</v>
      </c>
      <c r="M14" s="66"/>
      <c r="N14" s="66"/>
      <c r="O14" s="30"/>
      <c r="P14" s="57"/>
      <c r="Q14" s="57"/>
      <c r="R14" s="30">
        <f t="shared" ref="R14:R28" si="0">+SUM(F14:Q14)</f>
        <v>4</v>
      </c>
      <c r="S14" s="58">
        <v>38</v>
      </c>
      <c r="T14" s="59">
        <f>+S14*R14</f>
        <v>152</v>
      </c>
    </row>
    <row r="15" spans="2:25" s="45" customFormat="1" ht="38.25" x14ac:dyDescent="0.2">
      <c r="B15" s="30">
        <v>5</v>
      </c>
      <c r="C15" s="30" t="s">
        <v>50</v>
      </c>
      <c r="D15" s="36" t="s">
        <v>176</v>
      </c>
      <c r="E15" s="33" t="s">
        <v>151</v>
      </c>
      <c r="F15" s="66"/>
      <c r="G15" s="66">
        <f>38+4</f>
        <v>42</v>
      </c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>
        <f t="shared" si="0"/>
        <v>42</v>
      </c>
      <c r="S15" s="58">
        <v>225</v>
      </c>
      <c r="T15" s="59">
        <f t="shared" ref="T15:T23" si="1">+S15*R15</f>
        <v>9450</v>
      </c>
    </row>
    <row r="16" spans="2:25" s="45" customFormat="1" ht="38.25" x14ac:dyDescent="0.2">
      <c r="B16" s="30">
        <v>6</v>
      </c>
      <c r="C16" s="30" t="s">
        <v>50</v>
      </c>
      <c r="D16" s="36" t="s">
        <v>177</v>
      </c>
      <c r="E16" s="33" t="s">
        <v>151</v>
      </c>
      <c r="F16" s="66"/>
      <c r="G16" s="66">
        <f>6+11</f>
        <v>17</v>
      </c>
      <c r="H16" s="66"/>
      <c r="I16" s="30"/>
      <c r="J16" s="30"/>
      <c r="K16" s="57"/>
      <c r="L16" s="66"/>
      <c r="M16" s="66"/>
      <c r="N16" s="66">
        <v>2</v>
      </c>
      <c r="O16" s="30"/>
      <c r="P16" s="57"/>
      <c r="Q16" s="57"/>
      <c r="R16" s="30">
        <f t="shared" si="0"/>
        <v>19</v>
      </c>
      <c r="S16" s="58">
        <v>137</v>
      </c>
      <c r="T16" s="59">
        <f t="shared" si="1"/>
        <v>2603</v>
      </c>
    </row>
    <row r="17" spans="2:20" s="45" customFormat="1" x14ac:dyDescent="0.2">
      <c r="B17" s="30">
        <v>7</v>
      </c>
      <c r="C17" s="30" t="s">
        <v>50</v>
      </c>
      <c r="D17" s="36" t="s">
        <v>178</v>
      </c>
      <c r="E17" s="33" t="s">
        <v>151</v>
      </c>
      <c r="F17" s="66"/>
      <c r="G17" s="66">
        <v>1</v>
      </c>
      <c r="H17" s="66"/>
      <c r="I17" s="30"/>
      <c r="J17" s="30">
        <v>1</v>
      </c>
      <c r="K17" s="57"/>
      <c r="L17" s="66">
        <v>1</v>
      </c>
      <c r="M17" s="66">
        <v>2</v>
      </c>
      <c r="N17" s="66">
        <v>1</v>
      </c>
      <c r="O17" s="30"/>
      <c r="P17" s="57"/>
      <c r="Q17" s="57"/>
      <c r="R17" s="30">
        <f t="shared" si="0"/>
        <v>6</v>
      </c>
      <c r="S17" s="58">
        <v>650</v>
      </c>
      <c r="T17" s="59">
        <f>1300+255</f>
        <v>1555</v>
      </c>
    </row>
    <row r="18" spans="2:20" s="45" customFormat="1" x14ac:dyDescent="0.2">
      <c r="B18" s="30">
        <v>8</v>
      </c>
      <c r="C18" s="30" t="s">
        <v>50</v>
      </c>
      <c r="D18" s="36" t="s">
        <v>194</v>
      </c>
      <c r="E18" s="33" t="s">
        <v>151</v>
      </c>
      <c r="F18" s="66"/>
      <c r="G18" s="66">
        <v>2</v>
      </c>
      <c r="H18" s="66"/>
      <c r="I18" s="30"/>
      <c r="J18" s="30"/>
      <c r="K18" s="57">
        <v>8</v>
      </c>
      <c r="L18" s="66">
        <v>4</v>
      </c>
      <c r="M18" s="66"/>
      <c r="N18" s="66"/>
      <c r="O18" s="30"/>
      <c r="P18" s="57"/>
      <c r="Q18" s="57"/>
      <c r="R18" s="30">
        <f t="shared" si="0"/>
        <v>14</v>
      </c>
      <c r="S18" s="58">
        <v>65</v>
      </c>
      <c r="T18" s="59">
        <f t="shared" si="1"/>
        <v>910</v>
      </c>
    </row>
    <row r="19" spans="2:20" s="45" customFormat="1" x14ac:dyDescent="0.2">
      <c r="B19" s="30">
        <v>9</v>
      </c>
      <c r="C19" s="30" t="s">
        <v>50</v>
      </c>
      <c r="D19" s="36" t="s">
        <v>197</v>
      </c>
      <c r="E19" s="33" t="s">
        <v>140</v>
      </c>
      <c r="F19" s="66"/>
      <c r="G19" s="66"/>
      <c r="H19" s="66">
        <v>1</v>
      </c>
      <c r="I19" s="30"/>
      <c r="J19" s="30"/>
      <c r="K19" s="57"/>
      <c r="L19" s="66"/>
      <c r="M19" s="66"/>
      <c r="N19" s="66"/>
      <c r="O19" s="30"/>
      <c r="P19" s="57"/>
      <c r="Q19" s="57"/>
      <c r="R19" s="30">
        <f t="shared" si="0"/>
        <v>1</v>
      </c>
      <c r="S19" s="58">
        <v>76</v>
      </c>
      <c r="T19" s="59">
        <f t="shared" si="1"/>
        <v>76</v>
      </c>
    </row>
    <row r="20" spans="2:20" s="45" customFormat="1" ht="25.5" x14ac:dyDescent="0.2">
      <c r="B20" s="30">
        <v>10</v>
      </c>
      <c r="C20" s="30" t="s">
        <v>50</v>
      </c>
      <c r="D20" s="36" t="s">
        <v>201</v>
      </c>
      <c r="E20" s="33" t="s">
        <v>151</v>
      </c>
      <c r="F20" s="66"/>
      <c r="G20" s="66"/>
      <c r="H20" s="66">
        <v>2</v>
      </c>
      <c r="I20" s="30"/>
      <c r="J20" s="30"/>
      <c r="K20" s="57"/>
      <c r="L20" s="66">
        <v>2</v>
      </c>
      <c r="M20" s="66"/>
      <c r="N20" s="66"/>
      <c r="O20" s="30"/>
      <c r="P20" s="57"/>
      <c r="Q20" s="57"/>
      <c r="R20" s="30">
        <f t="shared" si="0"/>
        <v>4</v>
      </c>
      <c r="S20" s="58"/>
      <c r="T20" s="59">
        <v>390</v>
      </c>
    </row>
    <row r="21" spans="2:20" s="45" customFormat="1" x14ac:dyDescent="0.2">
      <c r="B21" s="30">
        <v>11</v>
      </c>
      <c r="C21" s="30" t="s">
        <v>50</v>
      </c>
      <c r="D21" s="35" t="s">
        <v>206</v>
      </c>
      <c r="E21" s="33" t="s">
        <v>151</v>
      </c>
      <c r="F21" s="66"/>
      <c r="G21" s="66"/>
      <c r="H21" s="66"/>
      <c r="I21" s="30">
        <v>1</v>
      </c>
      <c r="J21" s="30"/>
      <c r="K21" s="57"/>
      <c r="L21" s="66"/>
      <c r="M21" s="66"/>
      <c r="N21" s="66"/>
      <c r="O21" s="30"/>
      <c r="P21" s="57"/>
      <c r="Q21" s="57"/>
      <c r="R21" s="30">
        <f t="shared" si="0"/>
        <v>1</v>
      </c>
      <c r="S21" s="58">
        <v>254</v>
      </c>
      <c r="T21" s="59">
        <f t="shared" si="1"/>
        <v>254</v>
      </c>
    </row>
    <row r="22" spans="2:20" s="45" customFormat="1" ht="25.5" x14ac:dyDescent="0.2">
      <c r="B22" s="30">
        <v>12</v>
      </c>
      <c r="C22" s="30" t="s">
        <v>50</v>
      </c>
      <c r="D22" s="35" t="s">
        <v>212</v>
      </c>
      <c r="E22" s="33" t="s">
        <v>151</v>
      </c>
      <c r="F22" s="66"/>
      <c r="G22" s="66"/>
      <c r="H22" s="66"/>
      <c r="I22" s="30"/>
      <c r="J22" s="30"/>
      <c r="K22" s="57"/>
      <c r="L22" s="66"/>
      <c r="M22" s="66">
        <v>5</v>
      </c>
      <c r="N22" s="66">
        <v>6</v>
      </c>
      <c r="O22" s="30"/>
      <c r="P22" s="57"/>
      <c r="Q22" s="57"/>
      <c r="R22" s="30">
        <f t="shared" si="0"/>
        <v>11</v>
      </c>
      <c r="S22" s="58">
        <v>125</v>
      </c>
      <c r="T22" s="59">
        <f t="shared" si="1"/>
        <v>1375</v>
      </c>
    </row>
    <row r="23" spans="2:20" s="45" customFormat="1" x14ac:dyDescent="0.2">
      <c r="B23" s="30">
        <v>13</v>
      </c>
      <c r="C23" s="30" t="s">
        <v>50</v>
      </c>
      <c r="D23" s="35" t="s">
        <v>235</v>
      </c>
      <c r="E23" s="33" t="s">
        <v>151</v>
      </c>
      <c r="F23" s="66"/>
      <c r="G23" s="66"/>
      <c r="H23" s="66"/>
      <c r="I23" s="30"/>
      <c r="J23" s="30"/>
      <c r="K23" s="57"/>
      <c r="L23" s="66">
        <v>1</v>
      </c>
      <c r="M23" s="66"/>
      <c r="N23" s="66"/>
      <c r="O23" s="30"/>
      <c r="P23" s="57"/>
      <c r="Q23" s="57"/>
      <c r="R23" s="30">
        <f t="shared" si="0"/>
        <v>1</v>
      </c>
      <c r="S23" s="58">
        <v>51</v>
      </c>
      <c r="T23" s="59">
        <f t="shared" si="1"/>
        <v>51</v>
      </c>
    </row>
    <row r="24" spans="2:20" s="45" customFormat="1" ht="13.5" thickBot="1" x14ac:dyDescent="0.25">
      <c r="B24" s="30">
        <v>14</v>
      </c>
      <c r="C24" s="30" t="s">
        <v>50</v>
      </c>
      <c r="D24" s="35" t="s">
        <v>245</v>
      </c>
      <c r="E24" s="33" t="s">
        <v>151</v>
      </c>
      <c r="F24" s="66"/>
      <c r="G24" s="66"/>
      <c r="H24" s="66"/>
      <c r="I24" s="30"/>
      <c r="J24" s="30"/>
      <c r="K24" s="57"/>
      <c r="L24" s="66"/>
      <c r="M24" s="66">
        <v>2</v>
      </c>
      <c r="N24" s="66"/>
      <c r="O24" s="30"/>
      <c r="P24" s="57"/>
      <c r="Q24" s="57"/>
      <c r="R24" s="30">
        <f t="shared" si="0"/>
        <v>2</v>
      </c>
      <c r="S24" s="58"/>
      <c r="T24" s="59">
        <f>1255+932</f>
        <v>2187</v>
      </c>
    </row>
    <row r="25" spans="2:20" s="45" customFormat="1" ht="13.5" thickBot="1" x14ac:dyDescent="0.25">
      <c r="B25" s="30">
        <v>15</v>
      </c>
      <c r="C25" s="30"/>
      <c r="D25" s="135" t="s">
        <v>567</v>
      </c>
      <c r="E25" s="135" t="s">
        <v>557</v>
      </c>
      <c r="F25" s="135">
        <v>1</v>
      </c>
      <c r="G25" s="134"/>
      <c r="H25" s="135"/>
      <c r="I25" s="134"/>
      <c r="J25" s="135"/>
      <c r="K25" s="134"/>
      <c r="L25" s="135">
        <v>1</v>
      </c>
      <c r="M25" s="134"/>
      <c r="N25" s="135"/>
      <c r="O25" s="134"/>
      <c r="P25" s="134"/>
      <c r="Q25" s="134">
        <v>1</v>
      </c>
      <c r="R25" s="135">
        <v>3</v>
      </c>
      <c r="S25" s="153">
        <v>5747.13</v>
      </c>
      <c r="T25" s="138">
        <f>S25*R25</f>
        <v>17241.39</v>
      </c>
    </row>
    <row r="26" spans="2:20" s="45" customFormat="1" x14ac:dyDescent="0.2">
      <c r="B26" s="30">
        <v>16</v>
      </c>
      <c r="C26" s="135" t="s">
        <v>528</v>
      </c>
      <c r="D26" s="285" t="s">
        <v>860</v>
      </c>
      <c r="E26" s="244" t="s">
        <v>786</v>
      </c>
      <c r="F26" s="135">
        <v>3</v>
      </c>
      <c r="G26" s="135">
        <v>3</v>
      </c>
      <c r="H26" s="135">
        <v>3</v>
      </c>
      <c r="I26" s="135">
        <v>3</v>
      </c>
      <c r="J26" s="135">
        <v>3</v>
      </c>
      <c r="K26" s="135">
        <v>3</v>
      </c>
      <c r="L26" s="135">
        <v>3</v>
      </c>
      <c r="M26" s="135">
        <v>3</v>
      </c>
      <c r="N26" s="135">
        <v>3</v>
      </c>
      <c r="O26" s="135">
        <v>3</v>
      </c>
      <c r="P26" s="135">
        <v>3</v>
      </c>
      <c r="Q26" s="135">
        <v>3</v>
      </c>
      <c r="R26" s="219">
        <f>SUM(F26:Q26)</f>
        <v>36</v>
      </c>
      <c r="S26" s="286">
        <v>143.6781</v>
      </c>
      <c r="T26" s="238">
        <f>S26*R26</f>
        <v>5172.4116000000004</v>
      </c>
    </row>
    <row r="27" spans="2:20" s="45" customFormat="1" x14ac:dyDescent="0.2">
      <c r="B27" s="30">
        <v>17</v>
      </c>
      <c r="C27" s="30"/>
      <c r="D27" s="36"/>
      <c r="E27" s="33"/>
      <c r="F27" s="66"/>
      <c r="G27" s="66"/>
      <c r="H27" s="66"/>
      <c r="I27" s="30"/>
      <c r="J27" s="30"/>
      <c r="K27" s="57"/>
      <c r="L27" s="66"/>
      <c r="M27" s="66"/>
      <c r="N27" s="66"/>
      <c r="O27" s="30"/>
      <c r="P27" s="57"/>
      <c r="Q27" s="57"/>
      <c r="R27" s="30"/>
      <c r="S27" s="58"/>
      <c r="T27" s="59"/>
    </row>
    <row r="28" spans="2:20" x14ac:dyDescent="0.2">
      <c r="B28" s="30"/>
      <c r="C28" s="7"/>
      <c r="D28" s="36"/>
      <c r="E28" s="33"/>
      <c r="F28" s="73"/>
      <c r="G28" s="66"/>
      <c r="H28" s="73"/>
      <c r="I28" s="7"/>
      <c r="J28" s="7"/>
      <c r="K28" s="8"/>
      <c r="L28" s="73"/>
      <c r="M28" s="74"/>
      <c r="N28" s="73"/>
      <c r="O28" s="8"/>
      <c r="P28" s="8"/>
      <c r="Q28" s="8"/>
      <c r="R28" s="30">
        <f t="shared" si="0"/>
        <v>0</v>
      </c>
      <c r="S28" s="9"/>
      <c r="T28" s="34"/>
    </row>
    <row r="29" spans="2:20" ht="13.5" thickBot="1" x14ac:dyDescent="0.25">
      <c r="B29" s="16"/>
      <c r="C29" s="17"/>
      <c r="D29" s="83"/>
      <c r="E29" s="17"/>
      <c r="F29" s="75"/>
      <c r="G29" s="76"/>
      <c r="H29" s="75"/>
      <c r="I29" s="17"/>
      <c r="J29" s="17"/>
      <c r="K29" s="18"/>
      <c r="L29" s="75"/>
      <c r="M29" s="76"/>
      <c r="N29" s="75"/>
      <c r="O29" s="18"/>
      <c r="P29" s="18"/>
      <c r="Q29" s="18"/>
      <c r="R29" s="17"/>
      <c r="S29" s="19"/>
      <c r="T29" s="20"/>
    </row>
    <row r="30" spans="2:20" x14ac:dyDescent="0.2">
      <c r="B30" s="13"/>
      <c r="C30" s="13"/>
      <c r="D30" s="84"/>
      <c r="E30" s="13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1" t="s">
        <v>18</v>
      </c>
      <c r="T30" s="26">
        <f>+SUM(T11:T29)*0.16</f>
        <v>16956.768256000003</v>
      </c>
    </row>
    <row r="31" spans="2:20" x14ac:dyDescent="0.2">
      <c r="B31" s="13"/>
      <c r="C31" s="13"/>
      <c r="D31" s="84"/>
      <c r="E31" s="13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27" t="s">
        <v>17</v>
      </c>
      <c r="T31" s="28">
        <f>SUM(T11:T30)</f>
        <v>122936.56985600002</v>
      </c>
    </row>
    <row r="32" spans="2:20" x14ac:dyDescent="0.2">
      <c r="B32" s="13"/>
      <c r="C32" s="13"/>
      <c r="D32" s="84"/>
      <c r="E32" s="13"/>
      <c r="F32" s="1"/>
      <c r="G32" s="1"/>
      <c r="H32" s="1"/>
      <c r="I32" s="13"/>
      <c r="J32" s="1"/>
      <c r="K32" s="1"/>
      <c r="L32" s="1"/>
      <c r="M32" s="1"/>
      <c r="N32" s="1"/>
      <c r="O32" s="1"/>
      <c r="P32" s="1"/>
      <c r="Q32" s="1"/>
      <c r="R32" s="1"/>
      <c r="S32" s="11"/>
      <c r="T32" s="11"/>
    </row>
    <row r="33" spans="2:20" x14ac:dyDescent="0.2">
      <c r="B33" s="1"/>
      <c r="C33" s="1"/>
      <c r="D33" s="84"/>
      <c r="E33" s="1"/>
      <c r="F33" s="1"/>
      <c r="G33" s="1"/>
      <c r="H33" s="1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2"/>
    </row>
    <row r="34" spans="2:20" x14ac:dyDescent="0.2">
      <c r="B34" s="1"/>
      <c r="C34" s="1"/>
      <c r="D34" s="84"/>
      <c r="E34" s="1"/>
      <c r="F34" s="1"/>
      <c r="G34" s="1"/>
      <c r="H34" s="1"/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">
      <c r="B35" s="29"/>
      <c r="C35" s="29"/>
      <c r="D35" s="85"/>
      <c r="E35" s="29"/>
      <c r="F35" s="29"/>
      <c r="G35" s="29"/>
      <c r="H35" s="29"/>
      <c r="I35" s="42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2:20" x14ac:dyDescent="0.2">
      <c r="B36" s="29"/>
      <c r="C36" s="29"/>
      <c r="D36" s="85"/>
      <c r="E36" s="29"/>
      <c r="F36" s="29"/>
      <c r="G36" s="29"/>
      <c r="H36" s="29"/>
      <c r="I36" s="42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R11" sqref="R1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305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306</v>
      </c>
      <c r="E11" s="33" t="s">
        <v>289</v>
      </c>
      <c r="F11" s="66"/>
      <c r="G11" s="66"/>
      <c r="H11" s="66"/>
      <c r="I11" s="30"/>
      <c r="J11" s="53"/>
      <c r="K11" s="54"/>
      <c r="L11" s="69">
        <v>1</v>
      </c>
      <c r="M11" s="69"/>
      <c r="N11" s="69"/>
      <c r="O11" s="53"/>
      <c r="P11" s="54">
        <v>1</v>
      </c>
      <c r="Q11" s="54">
        <v>1</v>
      </c>
      <c r="R11" s="53">
        <f>SUM(F11:Q11)</f>
        <v>3</v>
      </c>
      <c r="S11" s="55">
        <v>10000</v>
      </c>
      <c r="T11" s="56">
        <f>1310.8+1276+232+1102+928+1136.8+1167+116+1345.6+2204+974.4+1334+638+197.2+2575.2+3039.2+440.8+1740+1084.2+394+371.2+185.6+185.6</f>
        <v>23977.599999999999</v>
      </c>
    </row>
    <row r="12" spans="2:25" s="45" customFormat="1" x14ac:dyDescent="0.2">
      <c r="B12" s="30"/>
      <c r="C12" s="30"/>
      <c r="D12" s="36"/>
      <c r="E12" s="33"/>
      <c r="F12" s="66"/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/>
      <c r="S12" s="58"/>
      <c r="T12" s="59"/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/>
      <c r="S13" s="58"/>
      <c r="T13" s="59"/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/>
      <c r="S14" s="58"/>
      <c r="T14" s="59"/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/>
      <c r="S15" s="58"/>
      <c r="T15" s="59"/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/>
      <c r="S16" s="58"/>
      <c r="T16" s="59"/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/>
      <c r="S17" s="58"/>
      <c r="T17" s="59"/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/>
      <c r="S18" s="58"/>
      <c r="T18" s="59"/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/>
      <c r="S19" s="58"/>
      <c r="T19" s="59"/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/>
      <c r="S20" s="58"/>
      <c r="T20" s="59"/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/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/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/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/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</f>
        <v>23977.599999999999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47955.199999999997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4"/>
  <sheetViews>
    <sheetView topLeftCell="I8" workbookViewId="0">
      <selection activeCell="D34" sqref="D34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581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13.5" thickBot="1" x14ac:dyDescent="0.25">
      <c r="B11" s="131">
        <v>1</v>
      </c>
      <c r="C11" t="s">
        <v>582</v>
      </c>
      <c r="D11" s="171" t="s">
        <v>862</v>
      </c>
      <c r="E11" s="135" t="s">
        <v>85</v>
      </c>
      <c r="F11" s="163">
        <v>5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35">
        <f>SUM(F11:Q11)</f>
        <v>5</v>
      </c>
      <c r="S11" s="164">
        <v>862.06896551724139</v>
      </c>
      <c r="T11" s="138">
        <f>S11*R11</f>
        <v>4310.3448275862065</v>
      </c>
    </row>
    <row r="12" spans="2:25" x14ac:dyDescent="0.2">
      <c r="B12" s="14"/>
      <c r="C12" s="7"/>
      <c r="D12" s="165"/>
      <c r="E12" s="7"/>
      <c r="F12" s="166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35"/>
      <c r="S12" s="167"/>
      <c r="T12" s="138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ht="13.5" thickBot="1" x14ac:dyDescent="0.25">
      <c r="B27" s="16"/>
      <c r="C27" s="17"/>
      <c r="D27" s="17"/>
      <c r="E27" s="17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8"/>
      <c r="Q27" s="18"/>
      <c r="R27" s="17"/>
      <c r="S27" s="19"/>
      <c r="T27" s="20"/>
    </row>
    <row r="28" spans="2:20" x14ac:dyDescent="0.2">
      <c r="B28" s="13"/>
      <c r="C28" s="13"/>
      <c r="D28" s="1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1" t="s">
        <v>18</v>
      </c>
      <c r="T28" s="26">
        <v>689.66</v>
      </c>
    </row>
    <row r="29" spans="2:20" x14ac:dyDescent="0.2">
      <c r="B29" s="13"/>
      <c r="C29" s="13"/>
      <c r="D29" s="1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7" t="s">
        <v>17</v>
      </c>
      <c r="T29" s="28">
        <f>SUM(T11:T28)</f>
        <v>5000.0048275862064</v>
      </c>
    </row>
    <row r="30" spans="2:20" x14ac:dyDescent="0.2">
      <c r="B30" s="13"/>
      <c r="C30" s="13"/>
      <c r="D30" s="1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1"/>
      <c r="T30" s="11"/>
    </row>
    <row r="31" spans="2:20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2"/>
    </row>
    <row r="32" spans="2:20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x14ac:dyDescent="0.2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2:20" x14ac:dyDescent="0.2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E20" workbookViewId="0">
      <selection activeCell="T49" sqref="T49"/>
    </sheetView>
  </sheetViews>
  <sheetFormatPr baseColWidth="10" defaultRowHeight="12.75" x14ac:dyDescent="0.2"/>
  <cols>
    <col min="4" max="4" width="36.28515625" customWidth="1"/>
    <col min="6" max="17" width="9.285156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568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569</v>
      </c>
      <c r="E11" s="135" t="s">
        <v>570</v>
      </c>
      <c r="F11" s="135">
        <v>9</v>
      </c>
      <c r="G11" s="134">
        <v>9</v>
      </c>
      <c r="H11" s="135">
        <v>9</v>
      </c>
      <c r="I11" s="134">
        <v>9</v>
      </c>
      <c r="J11" s="135">
        <v>9</v>
      </c>
      <c r="K11" s="134">
        <v>9</v>
      </c>
      <c r="L11" s="135">
        <v>8</v>
      </c>
      <c r="M11" s="134">
        <v>8</v>
      </c>
      <c r="N11" s="135">
        <v>8</v>
      </c>
      <c r="O11" s="134">
        <v>8</v>
      </c>
      <c r="P11" s="134">
        <v>8</v>
      </c>
      <c r="Q11" s="134">
        <v>8</v>
      </c>
      <c r="R11" s="135">
        <v>102</v>
      </c>
      <c r="S11" s="153">
        <v>312.86</v>
      </c>
      <c r="T11" s="138">
        <f>S11*R11</f>
        <v>31911.72</v>
      </c>
    </row>
    <row r="12" spans="1:20" ht="13.5" thickBot="1" x14ac:dyDescent="0.25">
      <c r="B12" s="14">
        <v>2</v>
      </c>
      <c r="C12" s="135" t="s">
        <v>528</v>
      </c>
      <c r="D12" s="7" t="s">
        <v>571</v>
      </c>
      <c r="E12" s="7" t="s">
        <v>570</v>
      </c>
      <c r="F12" s="135">
        <v>9</v>
      </c>
      <c r="G12" s="134">
        <v>9</v>
      </c>
      <c r="H12" s="135">
        <v>9</v>
      </c>
      <c r="I12" s="134">
        <v>9</v>
      </c>
      <c r="J12" s="135">
        <v>9</v>
      </c>
      <c r="K12" s="134">
        <v>9</v>
      </c>
      <c r="L12" s="135">
        <v>8</v>
      </c>
      <c r="M12" s="134">
        <v>8</v>
      </c>
      <c r="N12" s="135">
        <v>8</v>
      </c>
      <c r="O12" s="134">
        <v>8</v>
      </c>
      <c r="P12" s="134">
        <v>8</v>
      </c>
      <c r="Q12" s="134">
        <v>8</v>
      </c>
      <c r="R12" s="7">
        <v>102</v>
      </c>
      <c r="S12" s="9">
        <v>379.52</v>
      </c>
      <c r="T12" s="138">
        <f t="shared" ref="T12:T14" si="0">S12*R12</f>
        <v>38711.040000000001</v>
      </c>
    </row>
    <row r="13" spans="1:20" ht="13.5" thickBot="1" x14ac:dyDescent="0.25">
      <c r="B13" s="14">
        <v>3</v>
      </c>
      <c r="C13" s="135" t="s">
        <v>528</v>
      </c>
      <c r="D13" s="7" t="s">
        <v>572</v>
      </c>
      <c r="E13" s="7" t="s">
        <v>570</v>
      </c>
      <c r="F13" s="135">
        <v>9</v>
      </c>
      <c r="G13" s="134">
        <v>9</v>
      </c>
      <c r="H13" s="135">
        <v>9</v>
      </c>
      <c r="I13" s="134">
        <v>9</v>
      </c>
      <c r="J13" s="135">
        <v>9</v>
      </c>
      <c r="K13" s="134">
        <v>8</v>
      </c>
      <c r="L13" s="135">
        <v>8</v>
      </c>
      <c r="M13" s="134">
        <v>8</v>
      </c>
      <c r="N13" s="135">
        <v>8</v>
      </c>
      <c r="O13" s="134">
        <v>8</v>
      </c>
      <c r="P13" s="134">
        <v>8</v>
      </c>
      <c r="Q13" s="134">
        <v>8</v>
      </c>
      <c r="R13" s="7">
        <v>101</v>
      </c>
      <c r="S13" s="9">
        <v>541.38</v>
      </c>
      <c r="T13" s="138">
        <f t="shared" si="0"/>
        <v>54679.38</v>
      </c>
    </row>
    <row r="14" spans="1:20" ht="13.5" thickBot="1" x14ac:dyDescent="0.25">
      <c r="B14" s="14">
        <v>4</v>
      </c>
      <c r="C14" s="135" t="s">
        <v>528</v>
      </c>
      <c r="D14" s="7" t="s">
        <v>573</v>
      </c>
      <c r="E14" s="7" t="s">
        <v>570</v>
      </c>
      <c r="F14" s="7">
        <v>4</v>
      </c>
      <c r="G14" s="8">
        <v>4</v>
      </c>
      <c r="H14" s="7">
        <v>4</v>
      </c>
      <c r="I14" s="8">
        <v>4</v>
      </c>
      <c r="J14" s="7">
        <v>4</v>
      </c>
      <c r="K14" s="8">
        <v>5</v>
      </c>
      <c r="L14" s="7">
        <v>5</v>
      </c>
      <c r="M14" s="8">
        <v>4</v>
      </c>
      <c r="N14" s="7">
        <v>4</v>
      </c>
      <c r="O14" s="8">
        <v>4</v>
      </c>
      <c r="P14" s="8">
        <v>4</v>
      </c>
      <c r="Q14" s="8">
        <v>4</v>
      </c>
      <c r="R14" s="7">
        <v>50</v>
      </c>
      <c r="S14" s="9">
        <v>666.52</v>
      </c>
      <c r="T14" s="138">
        <f t="shared" si="0"/>
        <v>33326</v>
      </c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>
        <f>SUM(T11:T45)</f>
        <v>158628.14000000001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>
        <f>T46*16%</f>
        <v>25380.502400000001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T46+T47</f>
        <v>184008.64240000001</v>
      </c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A16" sqref="A16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22.5" x14ac:dyDescent="0.2">
      <c r="B8" s="292" t="s">
        <v>19</v>
      </c>
      <c r="C8" s="292"/>
      <c r="D8" s="80" t="s">
        <v>195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196</v>
      </c>
      <c r="E11" s="33" t="s">
        <v>138</v>
      </c>
      <c r="F11" s="66">
        <v>1</v>
      </c>
      <c r="G11" s="66">
        <v>1</v>
      </c>
      <c r="H11" s="66">
        <v>2</v>
      </c>
      <c r="I11" s="30">
        <v>1</v>
      </c>
      <c r="J11" s="53">
        <v>1</v>
      </c>
      <c r="K11" s="54">
        <v>1</v>
      </c>
      <c r="L11" s="69">
        <v>1</v>
      </c>
      <c r="M11" s="69">
        <v>1</v>
      </c>
      <c r="N11" s="69">
        <v>1</v>
      </c>
      <c r="O11" s="53">
        <v>1</v>
      </c>
      <c r="P11" s="54">
        <v>1</v>
      </c>
      <c r="Q11" s="54">
        <v>1</v>
      </c>
      <c r="R11" s="53">
        <f>SUM(F11:Q11)</f>
        <v>13</v>
      </c>
      <c r="S11" s="55">
        <v>431</v>
      </c>
      <c r="T11" s="56">
        <f>S11*R11</f>
        <v>5603</v>
      </c>
    </row>
    <row r="12" spans="2:25" s="45" customFormat="1" x14ac:dyDescent="0.2">
      <c r="B12" s="30"/>
      <c r="C12" s="30"/>
      <c r="D12" s="36"/>
      <c r="E12" s="33"/>
      <c r="F12" s="66"/>
      <c r="G12" s="66"/>
      <c r="H12" s="66"/>
      <c r="I12" s="30"/>
      <c r="J12" s="30"/>
      <c r="K12" s="57"/>
      <c r="L12" s="66"/>
      <c r="M12" s="66"/>
      <c r="N12" s="66"/>
      <c r="O12" s="30"/>
      <c r="P12" s="57"/>
      <c r="Q12" s="57"/>
      <c r="R12" s="30"/>
      <c r="S12" s="58"/>
      <c r="T12" s="59"/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/>
      <c r="S13" s="58"/>
      <c r="T13" s="59"/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/>
      <c r="S14" s="58"/>
      <c r="T14" s="59"/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/>
      <c r="S15" s="58"/>
      <c r="T15" s="59"/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/>
      <c r="S16" s="58"/>
      <c r="T16" s="59"/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/>
      <c r="S17" s="58"/>
      <c r="T17" s="59"/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/>
      <c r="S18" s="58"/>
      <c r="T18" s="59"/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/>
      <c r="S19" s="58"/>
      <c r="T19" s="59"/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/>
      <c r="S20" s="58"/>
      <c r="T20" s="59"/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/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/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/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/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896.48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6499.48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A7" zoomScale="115" zoomScaleNormal="115" workbookViewId="0">
      <selection activeCell="V27" sqref="V2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148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x14ac:dyDescent="0.2">
      <c r="B11" s="30">
        <v>1</v>
      </c>
      <c r="C11" s="30" t="s">
        <v>50</v>
      </c>
      <c r="D11" s="36" t="s">
        <v>149</v>
      </c>
      <c r="E11" s="33" t="s">
        <v>85</v>
      </c>
      <c r="F11" s="66"/>
      <c r="G11" s="66">
        <v>30</v>
      </c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30</v>
      </c>
      <c r="S11" s="55">
        <v>100</v>
      </c>
      <c r="T11" s="56">
        <f>S11*R11</f>
        <v>3000</v>
      </c>
    </row>
    <row r="12" spans="2:25" s="45" customFormat="1" x14ac:dyDescent="0.2">
      <c r="B12" s="30">
        <v>2</v>
      </c>
      <c r="C12" s="30" t="s">
        <v>50</v>
      </c>
      <c r="D12" s="36" t="s">
        <v>192</v>
      </c>
      <c r="E12" s="33" t="s">
        <v>85</v>
      </c>
      <c r="F12" s="66"/>
      <c r="G12" s="66"/>
      <c r="H12" s="66">
        <v>1</v>
      </c>
      <c r="I12" s="30"/>
      <c r="J12" s="30"/>
      <c r="K12" s="57"/>
      <c r="L12" s="66"/>
      <c r="M12" s="66"/>
      <c r="N12" s="66"/>
      <c r="O12" s="30"/>
      <c r="P12" s="57"/>
      <c r="Q12" s="57"/>
      <c r="R12" s="30">
        <f>+SUM(F12:Q12)</f>
        <v>1</v>
      </c>
      <c r="S12" s="58">
        <v>1322.4</v>
      </c>
      <c r="T12" s="59">
        <f>+S12*R12</f>
        <v>1322.4</v>
      </c>
    </row>
    <row r="13" spans="2:25" s="45" customFormat="1" x14ac:dyDescent="0.2">
      <c r="B13" s="30">
        <v>3</v>
      </c>
      <c r="C13" s="30" t="s">
        <v>50</v>
      </c>
      <c r="D13" s="36" t="s">
        <v>193</v>
      </c>
      <c r="E13" s="33" t="s">
        <v>85</v>
      </c>
      <c r="F13" s="66"/>
      <c r="G13" s="66"/>
      <c r="H13" s="66">
        <v>1</v>
      </c>
      <c r="I13" s="30"/>
      <c r="J13" s="30"/>
      <c r="K13" s="57"/>
      <c r="L13" s="66"/>
      <c r="M13" s="66"/>
      <c r="N13" s="66"/>
      <c r="O13" s="30"/>
      <c r="P13" s="57"/>
      <c r="Q13" s="57"/>
      <c r="R13" s="30">
        <f>+SUM(F13:Q13)</f>
        <v>1</v>
      </c>
      <c r="S13" s="58">
        <v>448</v>
      </c>
      <c r="T13" s="59">
        <f>+S13*R13</f>
        <v>448</v>
      </c>
    </row>
    <row r="14" spans="2:25" s="45" customFormat="1" x14ac:dyDescent="0.2">
      <c r="B14" s="30">
        <v>4</v>
      </c>
      <c r="C14" s="30" t="s">
        <v>50</v>
      </c>
      <c r="D14" s="36" t="s">
        <v>200</v>
      </c>
      <c r="E14" s="33" t="s">
        <v>85</v>
      </c>
      <c r="F14" s="66"/>
      <c r="G14" s="66"/>
      <c r="H14" s="66">
        <v>2</v>
      </c>
      <c r="I14" s="30"/>
      <c r="J14" s="30"/>
      <c r="K14" s="57"/>
      <c r="L14" s="66"/>
      <c r="M14" s="66"/>
      <c r="N14" s="66"/>
      <c r="O14" s="30"/>
      <c r="P14" s="57"/>
      <c r="Q14" s="57"/>
      <c r="R14" s="30">
        <f t="shared" ref="R14:R16" si="0">+SUM(F14:Q14)</f>
        <v>2</v>
      </c>
      <c r="S14" s="58">
        <f>1213.2+304.1</f>
        <v>1517.3000000000002</v>
      </c>
      <c r="T14" s="59">
        <f>+S14*R14</f>
        <v>3034.6000000000004</v>
      </c>
    </row>
    <row r="15" spans="2:25" s="45" customFormat="1" x14ac:dyDescent="0.2">
      <c r="B15" s="30">
        <v>5</v>
      </c>
      <c r="C15" s="30" t="s">
        <v>50</v>
      </c>
      <c r="D15" s="36" t="s">
        <v>207</v>
      </c>
      <c r="E15" s="33" t="s">
        <v>85</v>
      </c>
      <c r="F15" s="66"/>
      <c r="G15" s="66"/>
      <c r="H15" s="66"/>
      <c r="I15" s="30"/>
      <c r="J15" s="30"/>
      <c r="K15" s="57">
        <v>1</v>
      </c>
      <c r="L15" s="66"/>
      <c r="M15" s="66"/>
      <c r="N15" s="66"/>
      <c r="O15" s="30"/>
      <c r="P15" s="57"/>
      <c r="Q15" s="57"/>
      <c r="R15" s="30">
        <f t="shared" si="0"/>
        <v>1</v>
      </c>
      <c r="S15" s="58">
        <v>500</v>
      </c>
      <c r="T15" s="59">
        <f t="shared" ref="T15" si="1">+S15*R15</f>
        <v>500</v>
      </c>
    </row>
    <row r="16" spans="2:25" s="45" customFormat="1" x14ac:dyDescent="0.2">
      <c r="B16" s="30">
        <v>6</v>
      </c>
      <c r="C16" s="30" t="s">
        <v>50</v>
      </c>
      <c r="D16" s="36" t="s">
        <v>278</v>
      </c>
      <c r="E16" s="33" t="s">
        <v>85</v>
      </c>
      <c r="F16" s="66"/>
      <c r="G16" s="66"/>
      <c r="H16" s="66">
        <v>1</v>
      </c>
      <c r="I16" s="30">
        <v>2</v>
      </c>
      <c r="J16" s="30"/>
      <c r="K16" s="57"/>
      <c r="L16" s="66"/>
      <c r="M16" s="66"/>
      <c r="N16" s="66"/>
      <c r="O16" s="30"/>
      <c r="P16" s="57"/>
      <c r="Q16" s="57"/>
      <c r="R16" s="30">
        <f t="shared" si="0"/>
        <v>3</v>
      </c>
      <c r="S16" s="58"/>
      <c r="T16" s="59">
        <f>49999.99+18162+73532.94</f>
        <v>141694.93</v>
      </c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/>
      <c r="S17" s="58"/>
      <c r="T17" s="59"/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/>
      <c r="S18" s="58"/>
      <c r="T18" s="59"/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/>
      <c r="S19" s="58"/>
      <c r="T19" s="59"/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/>
      <c r="S20" s="58"/>
      <c r="T20" s="59"/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/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/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/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/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23999.988799999999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173999.91879999998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19"/>
  <sheetViews>
    <sheetView workbookViewId="0">
      <selection activeCell="B5" sqref="B5:T5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10.28515625" bestFit="1" customWidth="1"/>
    <col min="8" max="8" width="8.285156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3.42578125" bestFit="1" customWidth="1"/>
    <col min="15" max="15" width="10.28515625" bestFit="1" customWidth="1"/>
    <col min="16" max="16" width="12.42578125" bestFit="1" customWidth="1"/>
    <col min="17" max="17" width="11.710937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782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13.5" thickBot="1" x14ac:dyDescent="0.25">
      <c r="B11" s="30">
        <v>1</v>
      </c>
      <c r="C11" s="30" t="s">
        <v>50</v>
      </c>
      <c r="D11" s="224" t="s">
        <v>783</v>
      </c>
      <c r="E11" s="30" t="s">
        <v>784</v>
      </c>
      <c r="F11" s="66"/>
      <c r="G11" s="66"/>
      <c r="H11" s="66"/>
      <c r="I11" s="30"/>
      <c r="J11" s="30"/>
      <c r="K11" s="30"/>
      <c r="L11" s="66">
        <v>1</v>
      </c>
      <c r="M11" s="70"/>
      <c r="N11" s="66"/>
      <c r="O11" s="30"/>
      <c r="P11" s="57">
        <v>1</v>
      </c>
      <c r="Q11" s="57"/>
      <c r="R11" s="30">
        <f>+SUM(F11:Q11)</f>
        <v>2</v>
      </c>
      <c r="S11" s="95">
        <v>12931</v>
      </c>
      <c r="T11" s="59">
        <f>S11*R11</f>
        <v>25862</v>
      </c>
    </row>
    <row r="12" spans="2:25" x14ac:dyDescent="0.2">
      <c r="B12" s="7"/>
      <c r="C12" s="7"/>
      <c r="D12" s="135" t="s">
        <v>785</v>
      </c>
      <c r="E12" s="135" t="s">
        <v>786</v>
      </c>
      <c r="F12" s="135"/>
      <c r="G12" s="135">
        <v>1</v>
      </c>
      <c r="H12" s="135"/>
      <c r="I12" s="134"/>
      <c r="J12" s="135"/>
      <c r="K12" s="134"/>
      <c r="L12" s="135"/>
      <c r="M12" s="134"/>
      <c r="N12" s="135"/>
      <c r="O12" s="134"/>
      <c r="P12" s="134"/>
      <c r="Q12" s="134"/>
      <c r="R12" s="135">
        <f>SUM(F12:Q12)</f>
        <v>1</v>
      </c>
      <c r="S12" s="153">
        <v>2000000</v>
      </c>
      <c r="T12" s="138">
        <f>S12*R12</f>
        <v>2000000</v>
      </c>
    </row>
    <row r="13" spans="2:25" x14ac:dyDescent="0.2">
      <c r="B13" s="13"/>
      <c r="C13" s="13"/>
      <c r="D13" s="1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7" t="s">
        <v>17</v>
      </c>
      <c r="T13" s="228">
        <f>SUM(T11:T12)</f>
        <v>2025862</v>
      </c>
    </row>
    <row r="14" spans="2:25" x14ac:dyDescent="0.2">
      <c r="B14" s="13"/>
      <c r="C14" s="13"/>
      <c r="D14" s="1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"/>
      <c r="T14" s="11"/>
    </row>
    <row r="15" spans="2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2"/>
    </row>
    <row r="16" spans="2:25" x14ac:dyDescent="0.2">
      <c r="B16" s="1"/>
      <c r="C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2:20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x14ac:dyDescent="0.2">
      <c r="D19" s="223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topLeftCell="B1" zoomScale="90" zoomScaleNormal="90" workbookViewId="0">
      <selection activeCell="D19" sqref="D19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751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194" t="s">
        <v>752</v>
      </c>
      <c r="E11" s="202" t="s">
        <v>505</v>
      </c>
      <c r="F11" s="7"/>
      <c r="G11" s="7"/>
      <c r="H11" s="7"/>
      <c r="I11" s="214"/>
      <c r="J11" s="215"/>
      <c r="K11" s="214"/>
      <c r="L11" s="7">
        <v>1</v>
      </c>
      <c r="M11" s="7"/>
      <c r="N11" s="7"/>
      <c r="O11" s="7"/>
      <c r="P11" s="7"/>
      <c r="Q11" s="7"/>
      <c r="R11" s="7">
        <f t="shared" ref="R11" si="0">SUM(F11:Q11)</f>
        <v>1</v>
      </c>
      <c r="S11" s="217">
        <v>40000</v>
      </c>
      <c r="T11" s="15">
        <f>+R11*S11</f>
        <v>40000</v>
      </c>
    </row>
    <row r="12" spans="2:21" s="183" customFormat="1" ht="11.25" x14ac:dyDescent="0.2">
      <c r="B12" s="14"/>
      <c r="C12" s="7"/>
      <c r="D12" s="199"/>
      <c r="E12" s="185"/>
      <c r="F12" s="7"/>
      <c r="G12" s="7"/>
      <c r="H12" s="7"/>
      <c r="I12" s="211"/>
      <c r="J12" s="185"/>
      <c r="K12" s="211"/>
      <c r="L12" s="7"/>
      <c r="M12" s="7"/>
      <c r="N12" s="7"/>
      <c r="O12" s="7"/>
      <c r="P12" s="7"/>
      <c r="Q12" s="7"/>
      <c r="R12" s="7"/>
      <c r="S12" s="218"/>
      <c r="T12" s="15"/>
    </row>
    <row r="13" spans="2:21" s="183" customFormat="1" ht="11.25" x14ac:dyDescent="0.2">
      <c r="B13" s="14"/>
      <c r="C13" s="7"/>
      <c r="D13" s="199"/>
      <c r="E13" s="185"/>
      <c r="F13" s="7"/>
      <c r="G13" s="7"/>
      <c r="H13" s="7"/>
      <c r="I13" s="211"/>
      <c r="J13" s="185"/>
      <c r="K13" s="211"/>
      <c r="L13" s="7"/>
      <c r="M13" s="7"/>
      <c r="N13" s="7"/>
      <c r="O13" s="7"/>
      <c r="P13" s="7"/>
      <c r="Q13" s="7"/>
      <c r="R13" s="7"/>
      <c r="S13" s="218"/>
      <c r="T13" s="15"/>
    </row>
    <row r="14" spans="2:21" x14ac:dyDescent="0.2">
      <c r="B14" s="14"/>
      <c r="C14" s="7"/>
      <c r="D14" s="178"/>
      <c r="E14" s="210"/>
      <c r="F14" s="7"/>
      <c r="G14" s="7"/>
      <c r="H14" s="7"/>
      <c r="I14" s="211"/>
      <c r="J14" s="185"/>
      <c r="K14" s="211"/>
      <c r="L14" s="7"/>
      <c r="M14" s="7"/>
      <c r="N14" s="7"/>
      <c r="O14" s="7"/>
      <c r="P14" s="7"/>
      <c r="Q14" s="7"/>
      <c r="R14" s="157"/>
      <c r="S14" s="212"/>
      <c r="T14" s="15"/>
    </row>
    <row r="15" spans="2:21" x14ac:dyDescent="0.2">
      <c r="B15" s="14"/>
      <c r="C15" s="7"/>
      <c r="D15" s="178"/>
      <c r="E15" s="210"/>
      <c r="F15" s="7"/>
      <c r="G15" s="7"/>
      <c r="H15" s="7"/>
      <c r="I15" s="211"/>
      <c r="J15" s="185"/>
      <c r="K15" s="7"/>
      <c r="L15" s="7"/>
      <c r="M15" s="7"/>
      <c r="N15" s="7"/>
      <c r="O15" s="7"/>
      <c r="P15" s="7"/>
      <c r="Q15" s="7"/>
      <c r="R15" s="157"/>
      <c r="S15" s="212"/>
      <c r="T15" s="15"/>
    </row>
    <row r="16" spans="2:21" x14ac:dyDescent="0.2">
      <c r="B16" s="14"/>
      <c r="C16" s="7"/>
      <c r="D16" s="178"/>
      <c r="E16" s="210"/>
      <c r="F16" s="7"/>
      <c r="G16" s="7"/>
      <c r="H16" s="7"/>
      <c r="I16" s="211"/>
      <c r="J16" s="185"/>
      <c r="K16" s="7"/>
      <c r="L16" s="7"/>
      <c r="M16" s="7"/>
      <c r="N16" s="7"/>
      <c r="O16" s="7"/>
      <c r="P16" s="7"/>
      <c r="Q16" s="7"/>
      <c r="R16" s="157"/>
      <c r="S16" s="212"/>
      <c r="T16" s="15"/>
    </row>
    <row r="17" spans="2:20" x14ac:dyDescent="0.2">
      <c r="B17" s="14"/>
      <c r="C17" s="7"/>
      <c r="D17" s="178"/>
      <c r="E17" s="210"/>
      <c r="F17" s="7"/>
      <c r="G17" s="7"/>
      <c r="H17" s="7"/>
      <c r="I17" s="211"/>
      <c r="J17" s="185"/>
      <c r="K17" s="7"/>
      <c r="L17" s="7"/>
      <c r="M17" s="7"/>
      <c r="N17" s="7"/>
      <c r="O17" s="7"/>
      <c r="P17" s="7"/>
      <c r="Q17" s="7"/>
      <c r="R17" s="157"/>
      <c r="S17" s="212"/>
      <c r="T17" s="15"/>
    </row>
    <row r="18" spans="2:20" x14ac:dyDescent="0.2">
      <c r="B18" s="14"/>
      <c r="C18" s="7"/>
      <c r="D18" s="178"/>
      <c r="E18" s="210"/>
      <c r="F18" s="7"/>
      <c r="G18" s="7"/>
      <c r="H18" s="7"/>
      <c r="I18" s="211"/>
      <c r="J18" s="185"/>
      <c r="K18" s="7"/>
      <c r="L18" s="7"/>
      <c r="M18" s="7"/>
      <c r="N18" s="7"/>
      <c r="O18" s="7"/>
      <c r="P18" s="7"/>
      <c r="Q18" s="7"/>
      <c r="R18" s="157"/>
      <c r="S18" s="212"/>
      <c r="T18" s="15"/>
    </row>
    <row r="19" spans="2:20" x14ac:dyDescent="0.2">
      <c r="B19" s="14"/>
      <c r="C19" s="7"/>
      <c r="D19" s="178"/>
      <c r="E19" s="210"/>
      <c r="F19" s="7"/>
      <c r="G19" s="8"/>
      <c r="H19" s="7"/>
      <c r="I19" s="211"/>
      <c r="J19" s="185"/>
      <c r="K19" s="8"/>
      <c r="L19" s="7"/>
      <c r="M19" s="8"/>
      <c r="N19" s="7"/>
      <c r="O19" s="8"/>
      <c r="P19" s="8"/>
      <c r="Q19" s="8"/>
      <c r="R19" s="157"/>
      <c r="S19" s="212"/>
      <c r="T19" s="15"/>
    </row>
    <row r="20" spans="2:20" x14ac:dyDescent="0.2">
      <c r="B20" s="14"/>
      <c r="C20" s="7"/>
      <c r="D20" s="178"/>
      <c r="E20" s="210"/>
      <c r="F20" s="7"/>
      <c r="G20" s="8"/>
      <c r="H20" s="7"/>
      <c r="I20" s="211"/>
      <c r="J20" s="185"/>
      <c r="K20" s="8"/>
      <c r="L20" s="7"/>
      <c r="M20" s="8"/>
      <c r="N20" s="7"/>
      <c r="O20" s="8"/>
      <c r="P20" s="8"/>
      <c r="Q20" s="8"/>
      <c r="R20" s="157"/>
      <c r="S20" s="212"/>
      <c r="T20" s="15"/>
    </row>
    <row r="21" spans="2:20" x14ac:dyDescent="0.2">
      <c r="B21" s="14"/>
      <c r="C21" s="7"/>
      <c r="D21" s="184"/>
      <c r="E21" s="185"/>
      <c r="F21" s="7"/>
      <c r="G21" s="8"/>
      <c r="H21" s="7"/>
      <c r="I21" s="8"/>
      <c r="J21" s="185"/>
      <c r="K21" s="8"/>
      <c r="L21" s="7"/>
      <c r="M21" s="8"/>
      <c r="N21" s="7"/>
      <c r="O21" s="8"/>
      <c r="P21" s="8"/>
      <c r="Q21" s="8"/>
      <c r="R21" s="157"/>
      <c r="S21" s="186"/>
      <c r="T21" s="15"/>
    </row>
    <row r="22" spans="2:20" x14ac:dyDescent="0.2">
      <c r="B22" s="14"/>
      <c r="C22" s="7"/>
      <c r="D22" s="184"/>
      <c r="E22" s="185"/>
      <c r="F22" s="7"/>
      <c r="G22" s="8"/>
      <c r="H22" s="7"/>
      <c r="I22" s="8"/>
      <c r="J22" s="185"/>
      <c r="K22" s="8"/>
      <c r="L22" s="7"/>
      <c r="M22" s="8"/>
      <c r="N22" s="7"/>
      <c r="O22" s="8"/>
      <c r="P22" s="8"/>
      <c r="Q22" s="8"/>
      <c r="R22" s="157"/>
      <c r="S22" s="186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57"/>
      <c r="S23" s="186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6400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46400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52"/>
  <sheetViews>
    <sheetView zoomScale="90" zoomScaleNormal="90" workbookViewId="0">
      <selection activeCell="M17" sqref="M17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42578125" customWidth="1"/>
    <col min="20" max="20" width="13.85546875" customWidth="1"/>
  </cols>
  <sheetData>
    <row r="1" spans="2:21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</row>
    <row r="2" spans="2:21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</row>
    <row r="3" spans="2:21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</row>
    <row r="4" spans="2:21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</row>
    <row r="5" spans="2:21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2:21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2:21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2:21" s="2" customFormat="1" ht="11.25" x14ac:dyDescent="0.2">
      <c r="B8" s="292" t="s">
        <v>19</v>
      </c>
      <c r="C8" s="292"/>
      <c r="D8" s="10" t="s">
        <v>753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</row>
    <row r="9" spans="2:21" ht="13.5" thickBot="1" x14ac:dyDescent="0.25"/>
    <row r="10" spans="2:21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1" s="183" customFormat="1" ht="11.25" x14ac:dyDescent="0.2">
      <c r="B11" s="14">
        <v>1</v>
      </c>
      <c r="C11" s="7" t="s">
        <v>50</v>
      </c>
      <c r="D11" s="194" t="s">
        <v>754</v>
      </c>
      <c r="E11" s="202" t="s">
        <v>613</v>
      </c>
      <c r="F11" s="7"/>
      <c r="G11" s="7"/>
      <c r="H11" s="7"/>
      <c r="I11" s="214"/>
      <c r="J11" s="215">
        <v>1</v>
      </c>
      <c r="K11" s="214"/>
      <c r="L11" s="7"/>
      <c r="M11" s="7"/>
      <c r="N11" s="7"/>
      <c r="O11" s="7"/>
      <c r="P11" s="7"/>
      <c r="Q11" s="7"/>
      <c r="R11" s="7">
        <f t="shared" ref="R11" si="0">SUM(F11:Q11)</f>
        <v>1</v>
      </c>
      <c r="S11" s="217">
        <v>1200000</v>
      </c>
      <c r="T11" s="15">
        <f>+R11*S11</f>
        <v>1200000</v>
      </c>
    </row>
    <row r="12" spans="2:21" s="183" customFormat="1" ht="11.25" x14ac:dyDescent="0.2">
      <c r="B12" s="14"/>
      <c r="C12" s="7"/>
      <c r="D12" s="199"/>
      <c r="E12" s="185"/>
      <c r="F12" s="7"/>
      <c r="G12" s="7"/>
      <c r="H12" s="7"/>
      <c r="I12" s="211"/>
      <c r="J12" s="185"/>
      <c r="K12" s="211"/>
      <c r="L12" s="7"/>
      <c r="M12" s="7"/>
      <c r="N12" s="7"/>
      <c r="O12" s="7"/>
      <c r="P12" s="7"/>
      <c r="Q12" s="7"/>
      <c r="R12" s="7"/>
      <c r="S12" s="218"/>
      <c r="T12" s="15"/>
    </row>
    <row r="13" spans="2:21" s="183" customFormat="1" ht="11.25" x14ac:dyDescent="0.2">
      <c r="B13" s="14"/>
      <c r="C13" s="7"/>
      <c r="D13" s="199"/>
      <c r="E13" s="185"/>
      <c r="F13" s="7"/>
      <c r="G13" s="7"/>
      <c r="H13" s="7"/>
      <c r="I13" s="211"/>
      <c r="J13" s="185"/>
      <c r="K13" s="211"/>
      <c r="L13" s="7"/>
      <c r="M13" s="7"/>
      <c r="N13" s="7"/>
      <c r="O13" s="7"/>
      <c r="P13" s="7"/>
      <c r="Q13" s="7"/>
      <c r="R13" s="7"/>
      <c r="S13" s="218"/>
      <c r="T13" s="15"/>
    </row>
    <row r="14" spans="2:21" x14ac:dyDescent="0.2">
      <c r="B14" s="14"/>
      <c r="C14" s="7"/>
      <c r="D14" s="178"/>
      <c r="E14" s="210"/>
      <c r="F14" s="7"/>
      <c r="G14" s="7"/>
      <c r="H14" s="7"/>
      <c r="I14" s="211"/>
      <c r="J14" s="185"/>
      <c r="K14" s="211"/>
      <c r="L14" s="7"/>
      <c r="M14" s="7"/>
      <c r="N14" s="7"/>
      <c r="O14" s="7"/>
      <c r="P14" s="7"/>
      <c r="Q14" s="7"/>
      <c r="R14" s="157"/>
      <c r="S14" s="212"/>
      <c r="T14" s="15"/>
    </row>
    <row r="15" spans="2:21" x14ac:dyDescent="0.2">
      <c r="B15" s="14"/>
      <c r="C15" s="7"/>
      <c r="D15" s="178"/>
      <c r="E15" s="210"/>
      <c r="F15" s="7"/>
      <c r="G15" s="7"/>
      <c r="H15" s="7"/>
      <c r="I15" s="211"/>
      <c r="J15" s="185"/>
      <c r="K15" s="7"/>
      <c r="L15" s="7"/>
      <c r="M15" s="7"/>
      <c r="N15" s="7"/>
      <c r="O15" s="7"/>
      <c r="P15" s="7"/>
      <c r="Q15" s="7"/>
      <c r="R15" s="157"/>
      <c r="S15" s="212"/>
      <c r="T15" s="15"/>
    </row>
    <row r="16" spans="2:21" x14ac:dyDescent="0.2">
      <c r="B16" s="14"/>
      <c r="C16" s="7"/>
      <c r="D16" s="178"/>
      <c r="E16" s="210"/>
      <c r="F16" s="7"/>
      <c r="G16" s="7"/>
      <c r="H16" s="7"/>
      <c r="I16" s="211"/>
      <c r="J16" s="185"/>
      <c r="K16" s="7"/>
      <c r="L16" s="7"/>
      <c r="M16" s="7"/>
      <c r="N16" s="7"/>
      <c r="O16" s="7"/>
      <c r="P16" s="7"/>
      <c r="Q16" s="7"/>
      <c r="R16" s="157"/>
      <c r="S16" s="212"/>
      <c r="T16" s="15"/>
    </row>
    <row r="17" spans="2:20" x14ac:dyDescent="0.2">
      <c r="B17" s="14"/>
      <c r="C17" s="7"/>
      <c r="D17" s="178"/>
      <c r="E17" s="210"/>
      <c r="F17" s="7"/>
      <c r="G17" s="7"/>
      <c r="H17" s="7"/>
      <c r="I17" s="211"/>
      <c r="J17" s="185"/>
      <c r="K17" s="7"/>
      <c r="L17" s="7"/>
      <c r="M17" s="7"/>
      <c r="N17" s="7"/>
      <c r="O17" s="7"/>
      <c r="P17" s="7"/>
      <c r="Q17" s="7"/>
      <c r="R17" s="157"/>
      <c r="S17" s="212"/>
      <c r="T17" s="15"/>
    </row>
    <row r="18" spans="2:20" x14ac:dyDescent="0.2">
      <c r="B18" s="14"/>
      <c r="C18" s="7"/>
      <c r="D18" s="178"/>
      <c r="E18" s="210"/>
      <c r="F18" s="7"/>
      <c r="G18" s="7"/>
      <c r="H18" s="7"/>
      <c r="I18" s="211"/>
      <c r="J18" s="185"/>
      <c r="K18" s="7"/>
      <c r="L18" s="7"/>
      <c r="M18" s="7"/>
      <c r="N18" s="7"/>
      <c r="O18" s="7"/>
      <c r="P18" s="7"/>
      <c r="Q18" s="7"/>
      <c r="R18" s="157"/>
      <c r="S18" s="212"/>
      <c r="T18" s="15"/>
    </row>
    <row r="19" spans="2:20" x14ac:dyDescent="0.2">
      <c r="B19" s="14"/>
      <c r="C19" s="7"/>
      <c r="D19" s="178"/>
      <c r="E19" s="210"/>
      <c r="F19" s="7"/>
      <c r="G19" s="8"/>
      <c r="H19" s="7"/>
      <c r="I19" s="211"/>
      <c r="J19" s="185"/>
      <c r="K19" s="8"/>
      <c r="L19" s="7"/>
      <c r="M19" s="8"/>
      <c r="N19" s="7"/>
      <c r="O19" s="8"/>
      <c r="P19" s="8"/>
      <c r="Q19" s="8"/>
      <c r="R19" s="157"/>
      <c r="S19" s="212"/>
      <c r="T19" s="15"/>
    </row>
    <row r="20" spans="2:20" x14ac:dyDescent="0.2">
      <c r="B20" s="14"/>
      <c r="C20" s="7"/>
      <c r="D20" s="178"/>
      <c r="E20" s="210"/>
      <c r="F20" s="7"/>
      <c r="G20" s="8"/>
      <c r="H20" s="7"/>
      <c r="I20" s="211"/>
      <c r="J20" s="185"/>
      <c r="K20" s="8"/>
      <c r="L20" s="7"/>
      <c r="M20" s="8"/>
      <c r="N20" s="7"/>
      <c r="O20" s="8"/>
      <c r="P20" s="8"/>
      <c r="Q20" s="8"/>
      <c r="R20" s="157"/>
      <c r="S20" s="212"/>
      <c r="T20" s="15"/>
    </row>
    <row r="21" spans="2:20" x14ac:dyDescent="0.2">
      <c r="B21" s="14"/>
      <c r="C21" s="7"/>
      <c r="D21" s="184"/>
      <c r="E21" s="185"/>
      <c r="F21" s="7"/>
      <c r="G21" s="8"/>
      <c r="H21" s="7"/>
      <c r="I21" s="8"/>
      <c r="J21" s="185"/>
      <c r="K21" s="8"/>
      <c r="L21" s="7"/>
      <c r="M21" s="8"/>
      <c r="N21" s="7"/>
      <c r="O21" s="8"/>
      <c r="P21" s="8"/>
      <c r="Q21" s="8"/>
      <c r="R21" s="157"/>
      <c r="S21" s="186"/>
      <c r="T21" s="15"/>
    </row>
    <row r="22" spans="2:20" x14ac:dyDescent="0.2">
      <c r="B22" s="14"/>
      <c r="C22" s="7"/>
      <c r="D22" s="184"/>
      <c r="E22" s="185"/>
      <c r="F22" s="7"/>
      <c r="G22" s="8"/>
      <c r="H22" s="7"/>
      <c r="I22" s="8"/>
      <c r="J22" s="185"/>
      <c r="K22" s="8"/>
      <c r="L22" s="7"/>
      <c r="M22" s="8"/>
      <c r="N22" s="7"/>
      <c r="O22" s="8"/>
      <c r="P22" s="8"/>
      <c r="Q22" s="8"/>
      <c r="R22" s="157"/>
      <c r="S22" s="186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57"/>
      <c r="S23" s="186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ht="13.5" thickBot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8"/>
      <c r="Q45" s="18"/>
      <c r="R45" s="17"/>
      <c r="S45" s="19"/>
      <c r="T45" s="20"/>
    </row>
    <row r="46" spans="2:20" x14ac:dyDescent="0.2">
      <c r="B46" s="13"/>
      <c r="C46" s="1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1" t="s">
        <v>18</v>
      </c>
      <c r="T46" s="26">
        <f>SUM(T11:T45)*0.16</f>
        <v>192000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17</v>
      </c>
      <c r="T47" s="28">
        <f>SUM(T11:T46)</f>
        <v>1392000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1"/>
      <c r="T48" s="11"/>
    </row>
    <row r="49" spans="2:20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2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F20" sqref="F20"/>
    </sheetView>
  </sheetViews>
  <sheetFormatPr baseColWidth="10" defaultRowHeight="12.75" x14ac:dyDescent="0.2"/>
  <cols>
    <col min="4" max="4" width="36.28515625" customWidth="1"/>
    <col min="6" max="17" width="10" customWidth="1"/>
    <col min="19" max="19" width="12" bestFit="1" customWidth="1"/>
    <col min="20" max="20" width="13.28515625" customWidth="1"/>
  </cols>
  <sheetData>
    <row r="1" spans="1:20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0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0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0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</row>
    <row r="5" spans="1:20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</row>
    <row r="7" spans="1:20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</row>
    <row r="8" spans="1:20" x14ac:dyDescent="0.2">
      <c r="A8" s="2"/>
      <c r="B8" s="292" t="s">
        <v>19</v>
      </c>
      <c r="C8" s="292"/>
      <c r="D8" s="10" t="s">
        <v>574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</row>
    <row r="9" spans="1:20" ht="13.5" thickBot="1" x14ac:dyDescent="0.25"/>
    <row r="10" spans="1:20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0" ht="13.5" thickBot="1" x14ac:dyDescent="0.25">
      <c r="B11" s="131">
        <v>1</v>
      </c>
      <c r="C11" s="135" t="s">
        <v>528</v>
      </c>
      <c r="D11" s="135" t="s">
        <v>575</v>
      </c>
      <c r="E11" s="135" t="s">
        <v>557</v>
      </c>
      <c r="F11" s="135"/>
      <c r="G11" s="134"/>
      <c r="H11" s="135"/>
      <c r="I11" s="134">
        <v>1</v>
      </c>
      <c r="J11" s="135">
        <v>1</v>
      </c>
      <c r="K11" s="134">
        <v>1</v>
      </c>
      <c r="L11" s="135">
        <v>1</v>
      </c>
      <c r="M11" s="134">
        <v>1</v>
      </c>
      <c r="N11" s="135">
        <v>1</v>
      </c>
      <c r="O11" s="134">
        <v>1</v>
      </c>
      <c r="P11" s="134">
        <v>1</v>
      </c>
      <c r="Q11" s="134">
        <v>1</v>
      </c>
      <c r="R11" s="135">
        <v>1</v>
      </c>
      <c r="S11" s="153">
        <v>3911489</v>
      </c>
      <c r="T11" s="138">
        <v>3911489</v>
      </c>
    </row>
    <row r="12" spans="1:20" ht="13.5" thickBot="1" x14ac:dyDescent="0.25">
      <c r="B12" s="131">
        <v>2</v>
      </c>
      <c r="C12" s="135" t="s">
        <v>528</v>
      </c>
      <c r="D12" s="285" t="s">
        <v>861</v>
      </c>
      <c r="E12" s="244" t="s">
        <v>786</v>
      </c>
      <c r="F12" s="135"/>
      <c r="G12" s="135"/>
      <c r="H12" s="135">
        <v>1</v>
      </c>
      <c r="I12" s="135">
        <v>1</v>
      </c>
      <c r="J12" s="135">
        <v>1</v>
      </c>
      <c r="K12" s="135">
        <v>1</v>
      </c>
      <c r="L12" s="135">
        <v>1</v>
      </c>
      <c r="M12" s="135">
        <v>1</v>
      </c>
      <c r="N12" s="135">
        <v>1</v>
      </c>
      <c r="O12" s="135">
        <v>1</v>
      </c>
      <c r="P12" s="135">
        <v>1</v>
      </c>
      <c r="Q12" s="135">
        <v>1</v>
      </c>
      <c r="R12" s="219">
        <f>SUM(F12:Q12)</f>
        <v>10</v>
      </c>
      <c r="S12" s="286">
        <v>146401.70000000001</v>
      </c>
      <c r="T12" s="238">
        <f>S12*R12</f>
        <v>1464017</v>
      </c>
    </row>
    <row r="13" spans="1:20" ht="13.5" thickBot="1" x14ac:dyDescent="0.25">
      <c r="B13" s="14"/>
      <c r="C13" s="135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38"/>
    </row>
    <row r="14" spans="1:20" ht="13.5" thickBot="1" x14ac:dyDescent="0.25">
      <c r="B14" s="14"/>
      <c r="C14" s="135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38"/>
    </row>
    <row r="15" spans="1:20" ht="13.5" thickBot="1" x14ac:dyDescent="0.25">
      <c r="B15" s="14"/>
      <c r="C15" s="135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38"/>
    </row>
    <row r="16" spans="1:20" ht="13.5" thickBot="1" x14ac:dyDescent="0.25">
      <c r="B16" s="14"/>
      <c r="C16" s="135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38"/>
    </row>
    <row r="17" spans="2:20" ht="13.5" thickBot="1" x14ac:dyDescent="0.25">
      <c r="B17" s="14"/>
      <c r="C17" s="135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38"/>
    </row>
    <row r="18" spans="2:20" ht="13.5" thickBot="1" x14ac:dyDescent="0.25">
      <c r="B18" s="14"/>
      <c r="C18" s="135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38"/>
    </row>
    <row r="19" spans="2:20" ht="13.5" thickBot="1" x14ac:dyDescent="0.25">
      <c r="B19" s="14"/>
      <c r="C19" s="135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38"/>
    </row>
    <row r="20" spans="2:20" ht="13.5" thickBot="1" x14ac:dyDescent="0.25">
      <c r="B20" s="14"/>
      <c r="C20" s="135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38"/>
    </row>
    <row r="21" spans="2:20" ht="13.5" thickBot="1" x14ac:dyDescent="0.25">
      <c r="B21" s="14"/>
      <c r="C21" s="135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38"/>
    </row>
    <row r="22" spans="2:20" ht="13.5" thickBot="1" x14ac:dyDescent="0.25">
      <c r="B22" s="14"/>
      <c r="C22" s="135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38"/>
    </row>
    <row r="23" spans="2:20" ht="13.5" thickBot="1" x14ac:dyDescent="0.25">
      <c r="B23" s="14"/>
      <c r="C23" s="135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38"/>
    </row>
    <row r="24" spans="2:20" ht="13.5" thickBot="1" x14ac:dyDescent="0.25">
      <c r="B24" s="14"/>
      <c r="C24" s="135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38"/>
    </row>
    <row r="25" spans="2:20" ht="13.5" thickBot="1" x14ac:dyDescent="0.25">
      <c r="B25" s="14"/>
      <c r="C25" s="135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38"/>
    </row>
    <row r="26" spans="2:20" ht="13.5" thickBot="1" x14ac:dyDescent="0.25">
      <c r="B26" s="14"/>
      <c r="C26" s="135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38"/>
    </row>
    <row r="27" spans="2:20" ht="13.5" thickBot="1" x14ac:dyDescent="0.25">
      <c r="B27" s="14"/>
      <c r="C27" s="135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ht="13.5" thickBot="1" x14ac:dyDescent="0.25">
      <c r="B28" s="14"/>
      <c r="C28" s="135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ht="13.5" thickBot="1" x14ac:dyDescent="0.25">
      <c r="B29" s="14"/>
      <c r="C29" s="135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ht="13.5" thickBot="1" x14ac:dyDescent="0.25">
      <c r="B30" s="14"/>
      <c r="C30" s="135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ht="13.5" thickBot="1" x14ac:dyDescent="0.25">
      <c r="B31" s="14"/>
      <c r="C31" s="135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ht="13.5" thickBot="1" x14ac:dyDescent="0.25">
      <c r="B32" s="14"/>
      <c r="C32" s="135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135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1" t="s">
        <v>18</v>
      </c>
      <c r="T47" s="26"/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SUM(T11:T47)</f>
        <v>5375506</v>
      </c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opLeftCell="A7" workbookViewId="0">
      <selection activeCell="F12" sqref="F12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0.28515625" customWidth="1"/>
    <col min="20" max="20" width="13.85546875" customWidth="1"/>
  </cols>
  <sheetData>
    <row r="1" spans="2:25" s="2" customFormat="1" x14ac:dyDescent="0.2">
      <c r="C1" s="3"/>
      <c r="D1" s="4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13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13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13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10" t="s">
        <v>519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2:25" ht="56.25" x14ac:dyDescent="0.2">
      <c r="B11" s="131">
        <v>1</v>
      </c>
      <c r="C11" s="135" t="s">
        <v>50</v>
      </c>
      <c r="D11" s="143" t="s">
        <v>520</v>
      </c>
      <c r="E11" s="7"/>
      <c r="F11" s="135">
        <v>4</v>
      </c>
      <c r="G11" s="134"/>
      <c r="H11" s="135"/>
      <c r="I11" s="134"/>
      <c r="J11" s="135"/>
      <c r="K11" s="134"/>
      <c r="L11" s="135"/>
      <c r="M11" s="134"/>
      <c r="N11" s="135"/>
      <c r="O11" s="134"/>
      <c r="P11" s="134"/>
      <c r="Q11" s="134"/>
      <c r="R11" s="144">
        <v>4</v>
      </c>
      <c r="S11" s="145">
        <f>10000/4/1.16</f>
        <v>2155.1724137931037</v>
      </c>
      <c r="T11" s="138">
        <f>S11*R11</f>
        <v>8620.6896551724149</v>
      </c>
    </row>
    <row r="12" spans="2:25" x14ac:dyDescent="0.2">
      <c r="B12" s="14"/>
      <c r="C12" s="7"/>
      <c r="D12" s="7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144"/>
      <c r="S12" s="145"/>
      <c r="T12" s="15"/>
    </row>
    <row r="13" spans="2:25" x14ac:dyDescent="0.2">
      <c r="B13" s="14"/>
      <c r="C13" s="7"/>
      <c r="D13" s="7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144"/>
      <c r="S13" s="145"/>
      <c r="T13" s="15"/>
    </row>
    <row r="14" spans="2:25" x14ac:dyDescent="0.2">
      <c r="B14" s="14"/>
      <c r="C14" s="7"/>
      <c r="D14" s="7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144"/>
      <c r="S14" s="145"/>
      <c r="T14" s="15"/>
    </row>
    <row r="15" spans="2:25" x14ac:dyDescent="0.2">
      <c r="B15" s="14"/>
      <c r="C15" s="7"/>
      <c r="D15" s="7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144"/>
      <c r="S15" s="145"/>
      <c r="T15" s="15"/>
    </row>
    <row r="16" spans="2:25" x14ac:dyDescent="0.2">
      <c r="B16" s="14"/>
      <c r="C16" s="7"/>
      <c r="D16" s="7"/>
      <c r="E16" s="7"/>
      <c r="F16" s="7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144"/>
      <c r="S16" s="145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144"/>
      <c r="S17" s="145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144"/>
      <c r="S18" s="145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144"/>
      <c r="S19" s="145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144"/>
      <c r="S20" s="145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144"/>
      <c r="S21" s="145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144"/>
      <c r="S22" s="145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144"/>
      <c r="S23" s="145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46" t="s">
        <v>494</v>
      </c>
      <c r="T46" s="147">
        <f>SUM(T11:T45)</f>
        <v>8620.6896551724149</v>
      </c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 t="s">
        <v>18</v>
      </c>
      <c r="T47" s="28">
        <f>T46*0.16</f>
        <v>1379.3103448275865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7" t="s">
        <v>17</v>
      </c>
      <c r="T48" s="28">
        <f>T47+T46</f>
        <v>10000.000000000002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1"/>
      <c r="T49" s="11"/>
    </row>
    <row r="50" spans="2:20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2"/>
    </row>
    <row r="51" spans="2:20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2:20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B5:T5"/>
    <mergeCell ref="B6:T6"/>
    <mergeCell ref="B7:T7"/>
    <mergeCell ref="B8:C8"/>
  </mergeCells>
  <pageMargins left="0.7" right="0.7" top="0.75" bottom="0.75" header="0.3" footer="0.3"/>
  <pageSetup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Y33"/>
  <sheetViews>
    <sheetView topLeftCell="D1" zoomScale="115" zoomScaleNormal="115" workbookViewId="0">
      <selection activeCell="N21" sqref="N21"/>
    </sheetView>
  </sheetViews>
  <sheetFormatPr baseColWidth="10" defaultRowHeight="12.75" x14ac:dyDescent="0.2"/>
  <cols>
    <col min="1" max="1" width="2.140625" customWidth="1"/>
    <col min="2" max="2" width="10.42578125" customWidth="1"/>
    <col min="3" max="3" width="11.7109375" customWidth="1"/>
    <col min="4" max="4" width="38.28515625" style="81" customWidth="1"/>
    <col min="5" max="5" width="8.5703125" customWidth="1"/>
    <col min="6" max="6" width="6.85546875" bestFit="1" customWidth="1"/>
    <col min="7" max="7" width="7.7109375" bestFit="1" customWidth="1"/>
    <col min="8" max="8" width="6.42578125" bestFit="1" customWidth="1"/>
    <col min="9" max="9" width="8.42578125" style="4" customWidth="1"/>
    <col min="11" max="11" width="8.7109375" customWidth="1"/>
    <col min="12" max="12" width="9.140625" customWidth="1"/>
    <col min="13" max="13" width="10" customWidth="1"/>
    <col min="14" max="14" width="10.28515625" bestFit="1" customWidth="1"/>
    <col min="15" max="15" width="8" bestFit="1" customWidth="1"/>
    <col min="16" max="16" width="10" bestFit="1" customWidth="1"/>
    <col min="17" max="17" width="9.42578125" bestFit="1" customWidth="1"/>
    <col min="18" max="18" width="8.85546875" bestFit="1" customWidth="1"/>
    <col min="19" max="19" width="11.28515625" bestFit="1" customWidth="1"/>
    <col min="20" max="20" width="13.85546875" customWidth="1"/>
  </cols>
  <sheetData>
    <row r="1" spans="2:25" s="2" customFormat="1" x14ac:dyDescent="0.2">
      <c r="C1" s="3"/>
      <c r="D1" s="78"/>
      <c r="E1" s="13"/>
      <c r="F1" s="13"/>
      <c r="G1" s="13"/>
      <c r="H1" s="13"/>
      <c r="I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2" customFormat="1" x14ac:dyDescent="0.2">
      <c r="C2" s="4"/>
      <c r="D2" s="79"/>
      <c r="E2" s="13"/>
      <c r="F2" s="13"/>
      <c r="G2" s="13"/>
      <c r="H2" s="13"/>
      <c r="I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s="2" customFormat="1" ht="11.25" x14ac:dyDescent="0.2">
      <c r="C3" s="3"/>
      <c r="D3" s="79"/>
      <c r="E3" s="13"/>
      <c r="F3" s="13"/>
      <c r="G3" s="13"/>
      <c r="H3" s="13"/>
      <c r="I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2" customFormat="1" ht="24.75" customHeight="1" x14ac:dyDescent="0.2">
      <c r="C4" s="3"/>
      <c r="D4" s="79"/>
      <c r="E4" s="13"/>
      <c r="F4" s="13"/>
      <c r="G4" s="13"/>
      <c r="H4" s="13"/>
      <c r="I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2" customFormat="1" ht="21.75" customHeight="1" x14ac:dyDescent="0.25"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  <c r="V5" s="6"/>
      <c r="W5" s="6"/>
      <c r="X5" s="6"/>
      <c r="Y5" s="6"/>
    </row>
    <row r="6" spans="2:25" s="2" customFormat="1" ht="15" x14ac:dyDescent="0.25"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  <c r="V6" s="6"/>
      <c r="W6" s="6"/>
      <c r="X6" s="6"/>
      <c r="Y6" s="6"/>
    </row>
    <row r="7" spans="2:25" s="2" customFormat="1" ht="15" x14ac:dyDescent="0.25"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  <c r="V7" s="6"/>
      <c r="W7" s="6"/>
      <c r="X7" s="6"/>
      <c r="Y7" s="6"/>
    </row>
    <row r="8" spans="2:25" s="2" customFormat="1" ht="11.25" x14ac:dyDescent="0.2">
      <c r="B8" s="292" t="s">
        <v>19</v>
      </c>
      <c r="C8" s="292"/>
      <c r="D8" s="80" t="s">
        <v>415</v>
      </c>
      <c r="E8" s="13"/>
      <c r="F8" s="13"/>
      <c r="G8" s="13"/>
      <c r="H8" s="13"/>
      <c r="I8" s="13"/>
      <c r="M8" s="6"/>
      <c r="N8" s="6"/>
      <c r="O8" s="6"/>
      <c r="P8" s="6"/>
      <c r="Q8" s="6"/>
      <c r="R8" s="6"/>
      <c r="S8" s="293" t="s">
        <v>24</v>
      </c>
      <c r="T8" s="293"/>
      <c r="U8" s="6"/>
      <c r="V8" s="6"/>
      <c r="W8" s="6"/>
      <c r="X8" s="6"/>
      <c r="Y8" s="6"/>
    </row>
    <row r="9" spans="2:25" ht="13.5" thickBot="1" x14ac:dyDescent="0.25"/>
    <row r="10" spans="2:25" ht="29.25" customHeight="1" thickBot="1" x14ac:dyDescent="0.25">
      <c r="B10" s="21" t="s">
        <v>0</v>
      </c>
      <c r="C10" s="22" t="s">
        <v>2</v>
      </c>
      <c r="D10" s="82" t="s">
        <v>4</v>
      </c>
      <c r="E10" s="40" t="s">
        <v>3</v>
      </c>
      <c r="F10" s="41" t="s">
        <v>5</v>
      </c>
      <c r="G10" s="41" t="s">
        <v>6</v>
      </c>
      <c r="H10" s="41" t="s">
        <v>7</v>
      </c>
      <c r="I10" s="41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25</v>
      </c>
    </row>
    <row r="11" spans="2:25" s="45" customFormat="1" ht="13.5" thickBot="1" x14ac:dyDescent="0.25">
      <c r="B11" s="30">
        <v>1</v>
      </c>
      <c r="C11" s="30" t="s">
        <v>50</v>
      </c>
      <c r="D11" s="36" t="s">
        <v>416</v>
      </c>
      <c r="E11" s="33" t="s">
        <v>85</v>
      </c>
      <c r="F11" s="66">
        <v>1</v>
      </c>
      <c r="G11" s="66"/>
      <c r="H11" s="66"/>
      <c r="I11" s="30"/>
      <c r="J11" s="53"/>
      <c r="K11" s="54"/>
      <c r="L11" s="69"/>
      <c r="M11" s="69"/>
      <c r="N11" s="69"/>
      <c r="O11" s="53"/>
      <c r="P11" s="54"/>
      <c r="Q11" s="54"/>
      <c r="R11" s="53">
        <f>SUM(F11:Q11)</f>
        <v>1</v>
      </c>
      <c r="S11" s="55">
        <v>8189.66</v>
      </c>
      <c r="T11" s="56">
        <f>S11*R11</f>
        <v>8189.66</v>
      </c>
    </row>
    <row r="12" spans="2:25" s="45" customFormat="1" x14ac:dyDescent="0.2">
      <c r="B12" s="30"/>
      <c r="C12" s="30"/>
      <c r="D12" s="143" t="s">
        <v>521</v>
      </c>
      <c r="E12" s="7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4"/>
      <c r="Q12" s="134">
        <v>1</v>
      </c>
      <c r="R12" s="144">
        <v>1</v>
      </c>
      <c r="S12" s="145">
        <v>18107.169999999998</v>
      </c>
      <c r="T12" s="138">
        <f>S12*R12</f>
        <v>18107.169999999998</v>
      </c>
    </row>
    <row r="13" spans="2:25" s="45" customFormat="1" x14ac:dyDescent="0.2">
      <c r="B13" s="30"/>
      <c r="C13" s="30"/>
      <c r="D13" s="36"/>
      <c r="E13" s="33"/>
      <c r="F13" s="66"/>
      <c r="G13" s="66"/>
      <c r="H13" s="66"/>
      <c r="I13" s="30"/>
      <c r="J13" s="30"/>
      <c r="K13" s="57"/>
      <c r="L13" s="66"/>
      <c r="M13" s="66"/>
      <c r="N13" s="66"/>
      <c r="O13" s="30"/>
      <c r="P13" s="57"/>
      <c r="Q13" s="57"/>
      <c r="R13" s="30"/>
      <c r="S13" s="58"/>
      <c r="T13" s="59">
        <f>+S13*R13</f>
        <v>0</v>
      </c>
    </row>
    <row r="14" spans="2:25" s="45" customFormat="1" x14ac:dyDescent="0.2">
      <c r="B14" s="30"/>
      <c r="C14" s="30"/>
      <c r="D14" s="36"/>
      <c r="E14" s="33"/>
      <c r="F14" s="66"/>
      <c r="G14" s="66"/>
      <c r="H14" s="66"/>
      <c r="I14" s="30"/>
      <c r="J14" s="30"/>
      <c r="K14" s="57"/>
      <c r="L14" s="66"/>
      <c r="M14" s="66"/>
      <c r="N14" s="66"/>
      <c r="O14" s="30"/>
      <c r="P14" s="57"/>
      <c r="Q14" s="57"/>
      <c r="R14" s="30"/>
      <c r="S14" s="58"/>
      <c r="T14" s="59">
        <f>+S14*R14</f>
        <v>0</v>
      </c>
    </row>
    <row r="15" spans="2:25" s="45" customFormat="1" x14ac:dyDescent="0.2">
      <c r="B15" s="30"/>
      <c r="C15" s="30"/>
      <c r="D15" s="36"/>
      <c r="E15" s="33"/>
      <c r="F15" s="66"/>
      <c r="G15" s="66"/>
      <c r="H15" s="66"/>
      <c r="I15" s="30"/>
      <c r="J15" s="30"/>
      <c r="K15" s="57"/>
      <c r="L15" s="66"/>
      <c r="M15" s="66"/>
      <c r="N15" s="66"/>
      <c r="O15" s="30"/>
      <c r="P15" s="57"/>
      <c r="Q15" s="57"/>
      <c r="R15" s="30"/>
      <c r="S15" s="58"/>
      <c r="T15" s="59">
        <f t="shared" ref="T15" si="0">+S15*R15</f>
        <v>0</v>
      </c>
    </row>
    <row r="16" spans="2:25" s="45" customFormat="1" x14ac:dyDescent="0.2">
      <c r="B16" s="30"/>
      <c r="C16" s="30"/>
      <c r="D16" s="36"/>
      <c r="E16" s="33"/>
      <c r="F16" s="66"/>
      <c r="G16" s="66"/>
      <c r="H16" s="66"/>
      <c r="I16" s="30"/>
      <c r="J16" s="30"/>
      <c r="K16" s="57"/>
      <c r="L16" s="66"/>
      <c r="M16" s="66"/>
      <c r="N16" s="66"/>
      <c r="O16" s="30"/>
      <c r="P16" s="57"/>
      <c r="Q16" s="57"/>
      <c r="R16" s="30"/>
      <c r="S16" s="58"/>
      <c r="T16" s="59"/>
    </row>
    <row r="17" spans="2:20" s="45" customFormat="1" x14ac:dyDescent="0.2">
      <c r="B17" s="30"/>
      <c r="C17" s="30"/>
      <c r="D17" s="36"/>
      <c r="E17" s="33"/>
      <c r="F17" s="66"/>
      <c r="G17" s="66"/>
      <c r="H17" s="66"/>
      <c r="I17" s="30"/>
      <c r="J17" s="30"/>
      <c r="K17" s="57"/>
      <c r="L17" s="66"/>
      <c r="M17" s="66"/>
      <c r="N17" s="66"/>
      <c r="O17" s="30"/>
      <c r="P17" s="57"/>
      <c r="Q17" s="57"/>
      <c r="R17" s="30"/>
      <c r="S17" s="58"/>
      <c r="T17" s="59"/>
    </row>
    <row r="18" spans="2:20" s="45" customFormat="1" x14ac:dyDescent="0.2">
      <c r="B18" s="30"/>
      <c r="C18" s="30"/>
      <c r="D18" s="36"/>
      <c r="E18" s="33"/>
      <c r="F18" s="66"/>
      <c r="G18" s="66"/>
      <c r="H18" s="66"/>
      <c r="I18" s="30"/>
      <c r="J18" s="30"/>
      <c r="K18" s="57"/>
      <c r="L18" s="66"/>
      <c r="M18" s="66"/>
      <c r="N18" s="66"/>
      <c r="O18" s="30"/>
      <c r="P18" s="57"/>
      <c r="Q18" s="57"/>
      <c r="R18" s="30"/>
      <c r="S18" s="58"/>
      <c r="T18" s="59"/>
    </row>
    <row r="19" spans="2:20" s="45" customFormat="1" x14ac:dyDescent="0.2">
      <c r="B19" s="30"/>
      <c r="C19" s="30"/>
      <c r="D19" s="36"/>
      <c r="E19" s="33"/>
      <c r="F19" s="66"/>
      <c r="G19" s="66"/>
      <c r="H19" s="66"/>
      <c r="I19" s="30"/>
      <c r="J19" s="30"/>
      <c r="K19" s="57"/>
      <c r="L19" s="66"/>
      <c r="M19" s="66"/>
      <c r="N19" s="66"/>
      <c r="O19" s="30"/>
      <c r="P19" s="57"/>
      <c r="Q19" s="57"/>
      <c r="R19" s="30"/>
      <c r="S19" s="58"/>
      <c r="T19" s="59"/>
    </row>
    <row r="20" spans="2:20" s="45" customFormat="1" x14ac:dyDescent="0.2">
      <c r="B20" s="30"/>
      <c r="C20" s="30"/>
      <c r="D20" s="36"/>
      <c r="E20" s="33"/>
      <c r="F20" s="66"/>
      <c r="G20" s="66"/>
      <c r="H20" s="66"/>
      <c r="I20" s="30"/>
      <c r="J20" s="30"/>
      <c r="K20" s="57"/>
      <c r="L20" s="66"/>
      <c r="M20" s="66"/>
      <c r="N20" s="66"/>
      <c r="O20" s="30"/>
      <c r="P20" s="57"/>
      <c r="Q20" s="57"/>
      <c r="R20" s="30"/>
      <c r="S20" s="58"/>
      <c r="T20" s="59"/>
    </row>
    <row r="21" spans="2:20" s="45" customFormat="1" x14ac:dyDescent="0.2">
      <c r="B21" s="30"/>
      <c r="C21" s="30"/>
      <c r="D21" s="35"/>
      <c r="E21" s="33"/>
      <c r="F21" s="66"/>
      <c r="G21" s="66"/>
      <c r="H21" s="66"/>
      <c r="I21" s="30"/>
      <c r="J21" s="30"/>
      <c r="K21" s="57"/>
      <c r="L21" s="66"/>
      <c r="M21" s="66"/>
      <c r="N21" s="66"/>
      <c r="O21" s="30"/>
      <c r="P21" s="57"/>
      <c r="Q21" s="57"/>
      <c r="R21" s="30"/>
      <c r="S21" s="58"/>
      <c r="T21" s="59"/>
    </row>
    <row r="22" spans="2:20" s="45" customFormat="1" x14ac:dyDescent="0.2">
      <c r="B22" s="30"/>
      <c r="C22" s="30"/>
      <c r="D22" s="35"/>
      <c r="E22" s="33"/>
      <c r="F22" s="66"/>
      <c r="G22" s="66"/>
      <c r="H22" s="66"/>
      <c r="I22" s="30"/>
      <c r="J22" s="30"/>
      <c r="K22" s="57"/>
      <c r="L22" s="66"/>
      <c r="M22" s="66"/>
      <c r="N22" s="66"/>
      <c r="O22" s="30"/>
      <c r="P22" s="57"/>
      <c r="Q22" s="57"/>
      <c r="R22" s="30"/>
      <c r="S22" s="58"/>
      <c r="T22" s="59"/>
    </row>
    <row r="23" spans="2:20" s="45" customFormat="1" x14ac:dyDescent="0.2">
      <c r="B23" s="30"/>
      <c r="C23" s="30"/>
      <c r="D23" s="35"/>
      <c r="E23" s="33"/>
      <c r="F23" s="66"/>
      <c r="G23" s="66"/>
      <c r="H23" s="66"/>
      <c r="I23" s="30"/>
      <c r="J23" s="30"/>
      <c r="K23" s="57"/>
      <c r="L23" s="66"/>
      <c r="M23" s="66"/>
      <c r="N23" s="66"/>
      <c r="O23" s="30"/>
      <c r="P23" s="57"/>
      <c r="Q23" s="57"/>
      <c r="R23" s="30"/>
      <c r="S23" s="58"/>
      <c r="T23" s="59"/>
    </row>
    <row r="24" spans="2:20" s="45" customFormat="1" x14ac:dyDescent="0.2">
      <c r="B24" s="30"/>
      <c r="C24" s="30"/>
      <c r="D24" s="36"/>
      <c r="E24" s="33"/>
      <c r="F24" s="66"/>
      <c r="G24" s="66"/>
      <c r="H24" s="66"/>
      <c r="I24" s="30"/>
      <c r="J24" s="30"/>
      <c r="K24" s="57"/>
      <c r="L24" s="66"/>
      <c r="M24" s="66"/>
      <c r="N24" s="66"/>
      <c r="O24" s="30"/>
      <c r="P24" s="57"/>
      <c r="Q24" s="57"/>
      <c r="R24" s="30"/>
      <c r="S24" s="58"/>
      <c r="T24" s="59"/>
    </row>
    <row r="25" spans="2:20" x14ac:dyDescent="0.2">
      <c r="B25" s="30"/>
      <c r="C25" s="7"/>
      <c r="D25" s="36"/>
      <c r="E25" s="33"/>
      <c r="F25" s="73"/>
      <c r="G25" s="66"/>
      <c r="H25" s="73"/>
      <c r="I25" s="7"/>
      <c r="J25" s="7"/>
      <c r="K25" s="8"/>
      <c r="L25" s="73"/>
      <c r="M25" s="74"/>
      <c r="N25" s="73"/>
      <c r="O25" s="8"/>
      <c r="P25" s="8"/>
      <c r="Q25" s="8"/>
      <c r="R25" s="7"/>
      <c r="S25" s="9"/>
      <c r="T25" s="34"/>
    </row>
    <row r="26" spans="2:20" ht="13.5" thickBot="1" x14ac:dyDescent="0.25">
      <c r="B26" s="16"/>
      <c r="C26" s="17"/>
      <c r="D26" s="83"/>
      <c r="E26" s="17"/>
      <c r="F26" s="75"/>
      <c r="G26" s="76"/>
      <c r="H26" s="75"/>
      <c r="I26" s="17"/>
      <c r="J26" s="17"/>
      <c r="K26" s="18"/>
      <c r="L26" s="75"/>
      <c r="M26" s="76"/>
      <c r="N26" s="75"/>
      <c r="O26" s="18"/>
      <c r="P26" s="18"/>
      <c r="Q26" s="18"/>
      <c r="R26" s="17"/>
      <c r="S26" s="19"/>
      <c r="T26" s="20"/>
    </row>
    <row r="27" spans="2:20" x14ac:dyDescent="0.2">
      <c r="B27" s="13"/>
      <c r="C27" s="13"/>
      <c r="D27" s="84"/>
      <c r="E27" s="13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1" t="s">
        <v>18</v>
      </c>
      <c r="T27" s="26">
        <f>+SUM(T11:T25)*0.16</f>
        <v>4207.4928</v>
      </c>
    </row>
    <row r="28" spans="2:20" x14ac:dyDescent="0.2">
      <c r="B28" s="13"/>
      <c r="C28" s="13"/>
      <c r="D28" s="84"/>
      <c r="E28" s="13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27" t="s">
        <v>17</v>
      </c>
      <c r="T28" s="28">
        <f>SUM(T11:T27)</f>
        <v>30504.322799999998</v>
      </c>
    </row>
    <row r="29" spans="2:20" x14ac:dyDescent="0.2">
      <c r="B29" s="13"/>
      <c r="C29" s="13"/>
      <c r="D29" s="84"/>
      <c r="E29" s="13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1"/>
      <c r="T29" s="11"/>
    </row>
    <row r="30" spans="2:20" x14ac:dyDescent="0.2">
      <c r="B30" s="1"/>
      <c r="C30" s="1"/>
      <c r="D30" s="84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2"/>
    </row>
    <row r="31" spans="2:20" x14ac:dyDescent="0.2">
      <c r="B31" s="1"/>
      <c r="C31" s="1"/>
      <c r="D31" s="84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B32" s="29"/>
      <c r="C32" s="29"/>
      <c r="D32" s="85"/>
      <c r="E32" s="29"/>
      <c r="F32" s="29"/>
      <c r="G32" s="29"/>
      <c r="H32" s="29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2:20" x14ac:dyDescent="0.2">
      <c r="B33" s="29"/>
      <c r="C33" s="29"/>
      <c r="D33" s="85"/>
      <c r="E33" s="29"/>
      <c r="F33" s="29"/>
      <c r="G33" s="29"/>
      <c r="H33" s="29"/>
      <c r="I33" s="42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5">
    <mergeCell ref="B5:T5"/>
    <mergeCell ref="B6:T6"/>
    <mergeCell ref="B7:T7"/>
    <mergeCell ref="B8:C8"/>
    <mergeCell ref="S8:T8"/>
  </mergeCells>
  <pageMargins left="0.7" right="0.7" top="0.75" bottom="0.75" header="0.3" footer="0.3"/>
  <pageSetup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selection activeCell="I14" sqref="I14"/>
    </sheetView>
  </sheetViews>
  <sheetFormatPr baseColWidth="10" defaultRowHeight="12.75" x14ac:dyDescent="0.2"/>
  <cols>
    <col min="1" max="1" width="3" customWidth="1"/>
    <col min="4" max="4" width="28.42578125" customWidth="1"/>
  </cols>
  <sheetData>
    <row r="1" spans="1:21" x14ac:dyDescent="0.2">
      <c r="A1" s="2"/>
      <c r="B1" s="2"/>
      <c r="C1" s="3"/>
      <c r="D1" s="4"/>
      <c r="E1" s="13"/>
      <c r="F1" s="13"/>
      <c r="G1" s="13"/>
      <c r="H1" s="13"/>
      <c r="I1" s="13"/>
      <c r="J1" s="2"/>
      <c r="K1" s="2"/>
      <c r="L1" s="2"/>
      <c r="M1" s="6"/>
      <c r="N1" s="6"/>
      <c r="O1" s="6"/>
      <c r="P1" s="6"/>
      <c r="Q1" s="6"/>
      <c r="R1" s="6"/>
      <c r="S1" s="6"/>
      <c r="T1" s="6"/>
      <c r="U1" s="6"/>
    </row>
    <row r="2" spans="1:21" x14ac:dyDescent="0.2">
      <c r="A2" s="2"/>
      <c r="B2" s="2"/>
      <c r="C2" s="4"/>
      <c r="D2" s="13"/>
      <c r="E2" s="13"/>
      <c r="F2" s="13"/>
      <c r="G2" s="13"/>
      <c r="H2" s="13"/>
      <c r="I2" s="13"/>
      <c r="J2" s="2"/>
      <c r="K2" s="2"/>
      <c r="L2" s="2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A3" s="2"/>
      <c r="B3" s="2"/>
      <c r="C3" s="3"/>
      <c r="D3" s="13"/>
      <c r="E3" s="13"/>
      <c r="F3" s="13"/>
      <c r="G3" s="13"/>
      <c r="H3" s="13"/>
      <c r="I3" s="13"/>
      <c r="J3" s="2"/>
      <c r="K3" s="2"/>
      <c r="L3" s="2"/>
      <c r="M3" s="6"/>
      <c r="N3" s="6"/>
      <c r="O3" s="6"/>
      <c r="P3" s="6"/>
      <c r="Q3" s="6"/>
      <c r="R3" s="6"/>
      <c r="S3" s="6"/>
      <c r="T3" s="6"/>
      <c r="U3" s="6"/>
    </row>
    <row r="4" spans="1:21" x14ac:dyDescent="0.2">
      <c r="A4" s="2"/>
      <c r="B4" s="2"/>
      <c r="C4" s="3"/>
      <c r="D4" s="13"/>
      <c r="E4" s="13"/>
      <c r="F4" s="13"/>
      <c r="G4" s="13"/>
      <c r="H4" s="13"/>
      <c r="I4" s="4"/>
      <c r="J4" s="2"/>
      <c r="K4" s="2"/>
      <c r="L4" s="2"/>
      <c r="M4" s="6"/>
      <c r="N4" s="6"/>
      <c r="O4" s="6"/>
      <c r="P4" s="6"/>
      <c r="Q4" s="6"/>
      <c r="R4" s="6"/>
      <c r="S4" s="6"/>
      <c r="T4" s="6"/>
      <c r="U4" s="6"/>
    </row>
    <row r="5" spans="1:21" ht="15" x14ac:dyDescent="0.25">
      <c r="A5" s="2"/>
      <c r="B5" s="291" t="s">
        <v>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6"/>
    </row>
    <row r="6" spans="1:21" ht="15" x14ac:dyDescent="0.25">
      <c r="A6" s="2"/>
      <c r="B6" s="291" t="s">
        <v>23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6"/>
    </row>
    <row r="7" spans="1:21" ht="15" x14ac:dyDescent="0.25">
      <c r="A7" s="2"/>
      <c r="B7" s="291" t="s">
        <v>22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"/>
    </row>
    <row r="8" spans="1:21" x14ac:dyDescent="0.2">
      <c r="A8" s="2"/>
      <c r="B8" s="292" t="s">
        <v>19</v>
      </c>
      <c r="C8" s="292"/>
      <c r="D8" s="10" t="s">
        <v>481</v>
      </c>
      <c r="E8" s="13"/>
      <c r="F8" s="13"/>
      <c r="G8" s="13"/>
      <c r="H8" s="13"/>
      <c r="I8" s="13"/>
      <c r="J8" s="2"/>
      <c r="K8" s="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3.5" thickBot="1" x14ac:dyDescent="0.25"/>
    <row r="10" spans="1:21" ht="23.25" thickBot="1" x14ac:dyDescent="0.25">
      <c r="B10" s="21" t="s">
        <v>0</v>
      </c>
      <c r="C10" s="22" t="s">
        <v>2</v>
      </c>
      <c r="D10" s="22" t="s">
        <v>4</v>
      </c>
      <c r="E10" s="22" t="s">
        <v>3</v>
      </c>
      <c r="F10" s="23" t="s">
        <v>5</v>
      </c>
      <c r="G10" s="23" t="s">
        <v>6</v>
      </c>
      <c r="H10" s="23" t="s">
        <v>7</v>
      </c>
      <c r="I10" s="23" t="s">
        <v>8</v>
      </c>
      <c r="J10" s="22" t="s">
        <v>9</v>
      </c>
      <c r="K10" s="22" t="s">
        <v>10</v>
      </c>
      <c r="L10" s="23" t="s">
        <v>11</v>
      </c>
      <c r="M10" s="22" t="s">
        <v>12</v>
      </c>
      <c r="N10" s="22" t="s">
        <v>13</v>
      </c>
      <c r="O10" s="23" t="s">
        <v>14</v>
      </c>
      <c r="P10" s="23" t="s">
        <v>15</v>
      </c>
      <c r="Q10" s="23" t="s">
        <v>16</v>
      </c>
      <c r="R10" s="22" t="s">
        <v>1</v>
      </c>
      <c r="S10" s="24" t="s">
        <v>20</v>
      </c>
      <c r="T10" s="25" t="s">
        <v>475</v>
      </c>
    </row>
    <row r="11" spans="1:21" ht="13.5" thickBot="1" x14ac:dyDescent="0.25">
      <c r="B11" s="131">
        <v>1</v>
      </c>
      <c r="C11" s="132" t="s">
        <v>476</v>
      </c>
      <c r="D11" s="133" t="s">
        <v>482</v>
      </c>
      <c r="E11" s="132">
        <v>1</v>
      </c>
      <c r="F11" s="132">
        <v>1</v>
      </c>
      <c r="G11" s="134"/>
      <c r="H11" s="135"/>
      <c r="I11" s="134"/>
      <c r="J11" s="135"/>
      <c r="K11" s="134"/>
      <c r="L11" s="135"/>
      <c r="M11" s="134"/>
      <c r="N11" s="135"/>
      <c r="O11" s="135"/>
      <c r="P11" s="135"/>
      <c r="Q11" s="136"/>
      <c r="R11" s="137"/>
      <c r="S11" s="9">
        <v>430900</v>
      </c>
      <c r="T11" s="138">
        <f>F11*S11</f>
        <v>430900</v>
      </c>
    </row>
    <row r="12" spans="1:21" ht="13.5" thickBot="1" x14ac:dyDescent="0.25">
      <c r="B12" s="14"/>
      <c r="C12" s="132"/>
      <c r="D12" s="133"/>
      <c r="E12" s="7"/>
      <c r="F12" s="7"/>
      <c r="G12" s="8"/>
      <c r="H12" s="7"/>
      <c r="I12" s="8"/>
      <c r="J12" s="7"/>
      <c r="K12" s="8"/>
      <c r="L12" s="7"/>
      <c r="M12" s="8"/>
      <c r="N12" s="7"/>
      <c r="O12" s="8"/>
      <c r="P12" s="8"/>
      <c r="Q12" s="8"/>
      <c r="R12" s="7"/>
      <c r="S12" s="9"/>
      <c r="T12" s="15"/>
    </row>
    <row r="13" spans="1:21" x14ac:dyDescent="0.2">
      <c r="B13" s="14"/>
      <c r="C13" s="132"/>
      <c r="D13" s="133"/>
      <c r="E13" s="7"/>
      <c r="F13" s="7"/>
      <c r="G13" s="8"/>
      <c r="H13" s="7"/>
      <c r="I13" s="8"/>
      <c r="J13" s="7"/>
      <c r="K13" s="8"/>
      <c r="L13" s="7"/>
      <c r="M13" s="8"/>
      <c r="N13" s="7"/>
      <c r="O13" s="8"/>
      <c r="P13" s="8"/>
      <c r="Q13" s="8"/>
      <c r="R13" s="7"/>
      <c r="S13" s="9"/>
      <c r="T13" s="15"/>
    </row>
    <row r="14" spans="1:21" x14ac:dyDescent="0.2">
      <c r="B14" s="14"/>
      <c r="C14" s="7"/>
      <c r="D14" s="139"/>
      <c r="E14" s="7"/>
      <c r="F14" s="7"/>
      <c r="G14" s="8"/>
      <c r="H14" s="7"/>
      <c r="I14" s="8"/>
      <c r="J14" s="7"/>
      <c r="K14" s="8"/>
      <c r="L14" s="7"/>
      <c r="M14" s="8"/>
      <c r="N14" s="7"/>
      <c r="O14" s="8"/>
      <c r="P14" s="8"/>
      <c r="Q14" s="8"/>
      <c r="R14" s="7"/>
      <c r="S14" s="9"/>
      <c r="T14" s="15"/>
    </row>
    <row r="15" spans="1:21" x14ac:dyDescent="0.2">
      <c r="B15" s="14"/>
      <c r="C15" s="7"/>
      <c r="D15" s="139"/>
      <c r="E15" s="7"/>
      <c r="F15" s="7"/>
      <c r="G15" s="8"/>
      <c r="H15" s="7"/>
      <c r="I15" s="8"/>
      <c r="J15" s="7"/>
      <c r="K15" s="8"/>
      <c r="L15" s="7"/>
      <c r="M15" s="8"/>
      <c r="N15" s="7"/>
      <c r="O15" s="8"/>
      <c r="P15" s="8"/>
      <c r="Q15" s="8"/>
      <c r="R15" s="7"/>
      <c r="S15" s="9"/>
      <c r="T15" s="15"/>
    </row>
    <row r="16" spans="1:21" x14ac:dyDescent="0.2">
      <c r="B16" s="14"/>
      <c r="C16" s="140"/>
      <c r="D16" s="139"/>
      <c r="E16" s="140"/>
      <c r="F16" s="140"/>
      <c r="G16" s="8"/>
      <c r="H16" s="7"/>
      <c r="I16" s="8"/>
      <c r="J16" s="7"/>
      <c r="K16" s="8"/>
      <c r="L16" s="7"/>
      <c r="M16" s="8"/>
      <c r="N16" s="7"/>
      <c r="O16" s="8"/>
      <c r="P16" s="8"/>
      <c r="Q16" s="8"/>
      <c r="R16" s="7"/>
      <c r="S16" s="9"/>
      <c r="T16" s="15"/>
    </row>
    <row r="17" spans="2:20" x14ac:dyDescent="0.2">
      <c r="B17" s="14"/>
      <c r="C17" s="7"/>
      <c r="D17" s="7"/>
      <c r="E17" s="7"/>
      <c r="F17" s="7"/>
      <c r="G17" s="8"/>
      <c r="H17" s="7"/>
      <c r="I17" s="8"/>
      <c r="J17" s="7"/>
      <c r="K17" s="8"/>
      <c r="L17" s="7"/>
      <c r="M17" s="8"/>
      <c r="N17" s="7"/>
      <c r="O17" s="8"/>
      <c r="P17" s="8"/>
      <c r="Q17" s="8"/>
      <c r="R17" s="7"/>
      <c r="S17" s="9"/>
      <c r="T17" s="15"/>
    </row>
    <row r="18" spans="2:20" x14ac:dyDescent="0.2">
      <c r="B18" s="14"/>
      <c r="C18" s="7"/>
      <c r="D18" s="7"/>
      <c r="E18" s="7"/>
      <c r="F18" s="7"/>
      <c r="G18" s="8"/>
      <c r="H18" s="7"/>
      <c r="I18" s="8"/>
      <c r="J18" s="7"/>
      <c r="K18" s="8"/>
      <c r="L18" s="7"/>
      <c r="M18" s="8"/>
      <c r="N18" s="7"/>
      <c r="O18" s="8"/>
      <c r="P18" s="8"/>
      <c r="Q18" s="8"/>
      <c r="R18" s="7"/>
      <c r="S18" s="9"/>
      <c r="T18" s="15"/>
    </row>
    <row r="19" spans="2:20" x14ac:dyDescent="0.2">
      <c r="B19" s="14"/>
      <c r="C19" s="7"/>
      <c r="D19" s="7"/>
      <c r="E19" s="7"/>
      <c r="F19" s="7"/>
      <c r="G19" s="8"/>
      <c r="H19" s="7"/>
      <c r="I19" s="8"/>
      <c r="J19" s="7"/>
      <c r="K19" s="8"/>
      <c r="L19" s="7"/>
      <c r="M19" s="8"/>
      <c r="N19" s="7"/>
      <c r="O19" s="8"/>
      <c r="P19" s="8"/>
      <c r="Q19" s="8"/>
      <c r="R19" s="7"/>
      <c r="S19" s="9"/>
      <c r="T19" s="15"/>
    </row>
    <row r="20" spans="2:20" x14ac:dyDescent="0.2">
      <c r="B20" s="14"/>
      <c r="C20" s="7"/>
      <c r="D20" s="7"/>
      <c r="E20" s="7"/>
      <c r="F20" s="7"/>
      <c r="G20" s="8"/>
      <c r="H20" s="7"/>
      <c r="I20" s="8"/>
      <c r="J20" s="7"/>
      <c r="K20" s="8"/>
      <c r="L20" s="7"/>
      <c r="M20" s="8"/>
      <c r="N20" s="7"/>
      <c r="O20" s="8"/>
      <c r="P20" s="8"/>
      <c r="Q20" s="8"/>
      <c r="R20" s="7"/>
      <c r="S20" s="9"/>
      <c r="T20" s="15"/>
    </row>
    <row r="21" spans="2:20" x14ac:dyDescent="0.2">
      <c r="B21" s="14"/>
      <c r="C21" s="7"/>
      <c r="D21" s="7"/>
      <c r="E21" s="7"/>
      <c r="F21" s="7"/>
      <c r="G21" s="8"/>
      <c r="H21" s="7"/>
      <c r="I21" s="8"/>
      <c r="J21" s="7"/>
      <c r="K21" s="8"/>
      <c r="L21" s="7"/>
      <c r="M21" s="8"/>
      <c r="N21" s="7"/>
      <c r="O21" s="8"/>
      <c r="P21" s="8"/>
      <c r="Q21" s="8"/>
      <c r="R21" s="7"/>
      <c r="S21" s="9"/>
      <c r="T21" s="15"/>
    </row>
    <row r="22" spans="2:20" x14ac:dyDescent="0.2">
      <c r="B22" s="14"/>
      <c r="C22" s="7"/>
      <c r="D22" s="7"/>
      <c r="E22" s="7"/>
      <c r="F22" s="7"/>
      <c r="G22" s="8"/>
      <c r="H22" s="7"/>
      <c r="I22" s="8"/>
      <c r="J22" s="7"/>
      <c r="K22" s="8"/>
      <c r="L22" s="7"/>
      <c r="M22" s="8"/>
      <c r="N22" s="7"/>
      <c r="O22" s="8"/>
      <c r="P22" s="8"/>
      <c r="Q22" s="8"/>
      <c r="R22" s="7"/>
      <c r="S22" s="9"/>
      <c r="T22" s="15"/>
    </row>
    <row r="23" spans="2:20" x14ac:dyDescent="0.2">
      <c r="B23" s="14"/>
      <c r="C23" s="7"/>
      <c r="D23" s="7"/>
      <c r="E23" s="7"/>
      <c r="F23" s="7"/>
      <c r="G23" s="8"/>
      <c r="H23" s="7"/>
      <c r="I23" s="8"/>
      <c r="J23" s="7"/>
      <c r="K23" s="8"/>
      <c r="L23" s="7"/>
      <c r="M23" s="8"/>
      <c r="N23" s="7"/>
      <c r="O23" s="8"/>
      <c r="P23" s="8"/>
      <c r="Q23" s="8"/>
      <c r="R23" s="7"/>
      <c r="S23" s="9"/>
      <c r="T23" s="15"/>
    </row>
    <row r="24" spans="2:20" x14ac:dyDescent="0.2">
      <c r="B24" s="14"/>
      <c r="C24" s="7"/>
      <c r="D24" s="7"/>
      <c r="E24" s="7"/>
      <c r="F24" s="7"/>
      <c r="G24" s="8"/>
      <c r="H24" s="7"/>
      <c r="I24" s="8"/>
      <c r="J24" s="7"/>
      <c r="K24" s="8"/>
      <c r="L24" s="7"/>
      <c r="M24" s="8"/>
      <c r="N24" s="7"/>
      <c r="O24" s="8"/>
      <c r="P24" s="8"/>
      <c r="Q24" s="8"/>
      <c r="R24" s="7"/>
      <c r="S24" s="9"/>
      <c r="T24" s="15"/>
    </row>
    <row r="25" spans="2:20" x14ac:dyDescent="0.2">
      <c r="B25" s="14"/>
      <c r="C25" s="7"/>
      <c r="D25" s="7"/>
      <c r="E25" s="7"/>
      <c r="F25" s="7"/>
      <c r="G25" s="8"/>
      <c r="H25" s="7"/>
      <c r="I25" s="8"/>
      <c r="J25" s="7"/>
      <c r="K25" s="8"/>
      <c r="L25" s="7"/>
      <c r="M25" s="8"/>
      <c r="N25" s="7"/>
      <c r="O25" s="8"/>
      <c r="P25" s="8"/>
      <c r="Q25" s="8"/>
      <c r="R25" s="7"/>
      <c r="S25" s="9"/>
      <c r="T25" s="15"/>
    </row>
    <row r="26" spans="2:20" x14ac:dyDescent="0.2">
      <c r="B26" s="14"/>
      <c r="C26" s="7"/>
      <c r="D26" s="7"/>
      <c r="E26" s="7"/>
      <c r="F26" s="7"/>
      <c r="G26" s="8"/>
      <c r="H26" s="7"/>
      <c r="I26" s="8"/>
      <c r="J26" s="7"/>
      <c r="K26" s="8"/>
      <c r="L26" s="7"/>
      <c r="M26" s="8"/>
      <c r="N26" s="7"/>
      <c r="O26" s="8"/>
      <c r="P26" s="8"/>
      <c r="Q26" s="8"/>
      <c r="R26" s="7"/>
      <c r="S26" s="9"/>
      <c r="T26" s="15"/>
    </row>
    <row r="27" spans="2:20" x14ac:dyDescent="0.2">
      <c r="B27" s="14"/>
      <c r="C27" s="7"/>
      <c r="D27" s="7"/>
      <c r="E27" s="7"/>
      <c r="F27" s="7"/>
      <c r="G27" s="8"/>
      <c r="H27" s="7"/>
      <c r="I27" s="8"/>
      <c r="J27" s="7"/>
      <c r="K27" s="8"/>
      <c r="L27" s="7"/>
      <c r="M27" s="8"/>
      <c r="N27" s="7"/>
      <c r="O27" s="8"/>
      <c r="P27" s="8"/>
      <c r="Q27" s="8"/>
      <c r="R27" s="7"/>
      <c r="S27" s="9"/>
      <c r="T27" s="15"/>
    </row>
    <row r="28" spans="2:20" x14ac:dyDescent="0.2">
      <c r="B28" s="14"/>
      <c r="C28" s="7"/>
      <c r="D28" s="7"/>
      <c r="E28" s="7"/>
      <c r="F28" s="7"/>
      <c r="G28" s="8"/>
      <c r="H28" s="7"/>
      <c r="I28" s="8"/>
      <c r="J28" s="7"/>
      <c r="K28" s="8"/>
      <c r="L28" s="7"/>
      <c r="M28" s="8"/>
      <c r="N28" s="7"/>
      <c r="O28" s="8"/>
      <c r="P28" s="8"/>
      <c r="Q28" s="8"/>
      <c r="R28" s="7"/>
      <c r="S28" s="9"/>
      <c r="T28" s="15"/>
    </row>
    <row r="29" spans="2:20" x14ac:dyDescent="0.2">
      <c r="B29" s="14"/>
      <c r="C29" s="7"/>
      <c r="D29" s="7"/>
      <c r="E29" s="7"/>
      <c r="F29" s="7"/>
      <c r="G29" s="8"/>
      <c r="H29" s="7"/>
      <c r="I29" s="8"/>
      <c r="J29" s="7"/>
      <c r="K29" s="8"/>
      <c r="L29" s="7"/>
      <c r="M29" s="8"/>
      <c r="N29" s="7"/>
      <c r="O29" s="8"/>
      <c r="P29" s="8"/>
      <c r="Q29" s="8"/>
      <c r="R29" s="7"/>
      <c r="S29" s="9"/>
      <c r="T29" s="15"/>
    </row>
    <row r="30" spans="2:20" x14ac:dyDescent="0.2">
      <c r="B30" s="14"/>
      <c r="C30" s="7"/>
      <c r="D30" s="7"/>
      <c r="E30" s="7"/>
      <c r="F30" s="7"/>
      <c r="G30" s="8"/>
      <c r="H30" s="7"/>
      <c r="I30" s="8"/>
      <c r="J30" s="7"/>
      <c r="K30" s="8"/>
      <c r="L30" s="7"/>
      <c r="M30" s="8"/>
      <c r="N30" s="7"/>
      <c r="O30" s="8"/>
      <c r="P30" s="8"/>
      <c r="Q30" s="8"/>
      <c r="R30" s="7"/>
      <c r="S30" s="9"/>
      <c r="T30" s="15"/>
    </row>
    <row r="31" spans="2:20" x14ac:dyDescent="0.2">
      <c r="B31" s="14"/>
      <c r="C31" s="7"/>
      <c r="D31" s="7"/>
      <c r="E31" s="7"/>
      <c r="F31" s="7"/>
      <c r="G31" s="8"/>
      <c r="H31" s="7"/>
      <c r="I31" s="8"/>
      <c r="J31" s="7"/>
      <c r="K31" s="8"/>
      <c r="L31" s="7"/>
      <c r="M31" s="8"/>
      <c r="N31" s="7"/>
      <c r="O31" s="8"/>
      <c r="P31" s="8"/>
      <c r="Q31" s="8"/>
      <c r="R31" s="7"/>
      <c r="S31" s="9"/>
      <c r="T31" s="15"/>
    </row>
    <row r="32" spans="2:20" x14ac:dyDescent="0.2">
      <c r="B32" s="14"/>
      <c r="C32" s="7"/>
      <c r="D32" s="7"/>
      <c r="E32" s="7"/>
      <c r="F32" s="7"/>
      <c r="G32" s="8"/>
      <c r="H32" s="7"/>
      <c r="I32" s="8"/>
      <c r="J32" s="7"/>
      <c r="K32" s="8"/>
      <c r="L32" s="7"/>
      <c r="M32" s="8"/>
      <c r="N32" s="7"/>
      <c r="O32" s="8"/>
      <c r="P32" s="8"/>
      <c r="Q32" s="8"/>
      <c r="R32" s="7"/>
      <c r="S32" s="9"/>
      <c r="T32" s="15"/>
    </row>
    <row r="33" spans="2:20" x14ac:dyDescent="0.2">
      <c r="B33" s="14"/>
      <c r="C33" s="7"/>
      <c r="D33" s="7"/>
      <c r="E33" s="7"/>
      <c r="F33" s="7"/>
      <c r="G33" s="8"/>
      <c r="H33" s="7"/>
      <c r="I33" s="8"/>
      <c r="J33" s="7"/>
      <c r="K33" s="8"/>
      <c r="L33" s="7"/>
      <c r="M33" s="8"/>
      <c r="N33" s="7"/>
      <c r="O33" s="8"/>
      <c r="P33" s="8"/>
      <c r="Q33" s="8"/>
      <c r="R33" s="7"/>
      <c r="S33" s="9"/>
      <c r="T33" s="15"/>
    </row>
    <row r="34" spans="2:20" x14ac:dyDescent="0.2">
      <c r="B34" s="14"/>
      <c r="C34" s="7"/>
      <c r="D34" s="7"/>
      <c r="E34" s="7"/>
      <c r="F34" s="7"/>
      <c r="G34" s="8"/>
      <c r="H34" s="7"/>
      <c r="I34" s="8"/>
      <c r="J34" s="7"/>
      <c r="K34" s="8"/>
      <c r="L34" s="7"/>
      <c r="M34" s="8"/>
      <c r="N34" s="7"/>
      <c r="O34" s="8"/>
      <c r="P34" s="8"/>
      <c r="Q34" s="8"/>
      <c r="R34" s="7"/>
      <c r="S34" s="9"/>
      <c r="T34" s="15"/>
    </row>
    <row r="35" spans="2:20" x14ac:dyDescent="0.2">
      <c r="B35" s="14"/>
      <c r="C35" s="7"/>
      <c r="D35" s="7"/>
      <c r="E35" s="7"/>
      <c r="F35" s="7"/>
      <c r="G35" s="8"/>
      <c r="H35" s="7"/>
      <c r="I35" s="8"/>
      <c r="J35" s="7"/>
      <c r="K35" s="8"/>
      <c r="L35" s="7"/>
      <c r="M35" s="8"/>
      <c r="N35" s="7"/>
      <c r="O35" s="8"/>
      <c r="P35" s="8"/>
      <c r="Q35" s="8"/>
      <c r="R35" s="7"/>
      <c r="S35" s="9"/>
      <c r="T35" s="15"/>
    </row>
    <row r="36" spans="2:20" x14ac:dyDescent="0.2">
      <c r="B36" s="14"/>
      <c r="C36" s="7"/>
      <c r="D36" s="7"/>
      <c r="E36" s="7"/>
      <c r="F36" s="7"/>
      <c r="G36" s="8"/>
      <c r="H36" s="7"/>
      <c r="I36" s="8"/>
      <c r="J36" s="7"/>
      <c r="K36" s="8"/>
      <c r="L36" s="7"/>
      <c r="M36" s="8"/>
      <c r="N36" s="7"/>
      <c r="O36" s="8"/>
      <c r="P36" s="8"/>
      <c r="Q36" s="8"/>
      <c r="R36" s="7"/>
      <c r="S36" s="9"/>
      <c r="T36" s="15"/>
    </row>
    <row r="37" spans="2:20" x14ac:dyDescent="0.2">
      <c r="B37" s="14"/>
      <c r="C37" s="7"/>
      <c r="D37" s="7"/>
      <c r="E37" s="7"/>
      <c r="F37" s="7"/>
      <c r="G37" s="8"/>
      <c r="H37" s="7"/>
      <c r="I37" s="8"/>
      <c r="J37" s="7"/>
      <c r="K37" s="8"/>
      <c r="L37" s="7"/>
      <c r="M37" s="8"/>
      <c r="N37" s="7"/>
      <c r="O37" s="8"/>
      <c r="P37" s="8"/>
      <c r="Q37" s="8"/>
      <c r="R37" s="7"/>
      <c r="S37" s="9"/>
      <c r="T37" s="15"/>
    </row>
    <row r="38" spans="2:20" x14ac:dyDescent="0.2">
      <c r="B38" s="14"/>
      <c r="C38" s="7"/>
      <c r="D38" s="7"/>
      <c r="E38" s="7"/>
      <c r="F38" s="7"/>
      <c r="G38" s="8"/>
      <c r="H38" s="7"/>
      <c r="I38" s="8"/>
      <c r="J38" s="7"/>
      <c r="K38" s="8"/>
      <c r="L38" s="7"/>
      <c r="M38" s="8"/>
      <c r="N38" s="7"/>
      <c r="O38" s="8"/>
      <c r="P38" s="8"/>
      <c r="Q38" s="8"/>
      <c r="R38" s="7"/>
      <c r="S38" s="9"/>
      <c r="T38" s="15"/>
    </row>
    <row r="39" spans="2:20" x14ac:dyDescent="0.2">
      <c r="B39" s="14"/>
      <c r="C39" s="7"/>
      <c r="D39" s="7"/>
      <c r="E39" s="7"/>
      <c r="F39" s="7"/>
      <c r="G39" s="8"/>
      <c r="H39" s="7"/>
      <c r="I39" s="8"/>
      <c r="J39" s="7"/>
      <c r="K39" s="8"/>
      <c r="L39" s="7"/>
      <c r="M39" s="8"/>
      <c r="N39" s="7"/>
      <c r="O39" s="8"/>
      <c r="P39" s="8"/>
      <c r="Q39" s="8"/>
      <c r="R39" s="7"/>
      <c r="S39" s="9"/>
      <c r="T39" s="15"/>
    </row>
    <row r="40" spans="2:20" x14ac:dyDescent="0.2">
      <c r="B40" s="14"/>
      <c r="C40" s="7"/>
      <c r="D40" s="7"/>
      <c r="E40" s="7"/>
      <c r="F40" s="7"/>
      <c r="G40" s="8"/>
      <c r="H40" s="7"/>
      <c r="I40" s="8"/>
      <c r="J40" s="7"/>
      <c r="K40" s="8"/>
      <c r="L40" s="7"/>
      <c r="M40" s="8"/>
      <c r="N40" s="7"/>
      <c r="O40" s="8"/>
      <c r="P40" s="8"/>
      <c r="Q40" s="8"/>
      <c r="R40" s="7"/>
      <c r="S40" s="9"/>
      <c r="T40" s="15"/>
    </row>
    <row r="41" spans="2:20" x14ac:dyDescent="0.2">
      <c r="B41" s="14"/>
      <c r="C41" s="7"/>
      <c r="D41" s="7"/>
      <c r="E41" s="7"/>
      <c r="F41" s="7"/>
      <c r="G41" s="8"/>
      <c r="H41" s="7"/>
      <c r="I41" s="8"/>
      <c r="J41" s="7"/>
      <c r="K41" s="8"/>
      <c r="L41" s="7"/>
      <c r="M41" s="8"/>
      <c r="N41" s="7"/>
      <c r="O41" s="8"/>
      <c r="P41" s="8"/>
      <c r="Q41" s="8"/>
      <c r="R41" s="7"/>
      <c r="S41" s="9"/>
      <c r="T41" s="15"/>
    </row>
    <row r="42" spans="2:20" x14ac:dyDescent="0.2">
      <c r="B42" s="14"/>
      <c r="C42" s="7"/>
      <c r="D42" s="7"/>
      <c r="E42" s="7"/>
      <c r="F42" s="7"/>
      <c r="G42" s="8"/>
      <c r="H42" s="7"/>
      <c r="I42" s="8"/>
      <c r="J42" s="7"/>
      <c r="K42" s="8"/>
      <c r="L42" s="7"/>
      <c r="M42" s="8"/>
      <c r="N42" s="7"/>
      <c r="O42" s="8"/>
      <c r="P42" s="8"/>
      <c r="Q42" s="8"/>
      <c r="R42" s="7"/>
      <c r="S42" s="9"/>
      <c r="T42" s="15"/>
    </row>
    <row r="43" spans="2:20" x14ac:dyDescent="0.2">
      <c r="B43" s="14"/>
      <c r="C43" s="7"/>
      <c r="D43" s="7"/>
      <c r="E43" s="7"/>
      <c r="F43" s="7"/>
      <c r="G43" s="8"/>
      <c r="H43" s="7"/>
      <c r="I43" s="8"/>
      <c r="J43" s="7"/>
      <c r="K43" s="8"/>
      <c r="L43" s="7"/>
      <c r="M43" s="8"/>
      <c r="N43" s="7"/>
      <c r="O43" s="8"/>
      <c r="P43" s="8"/>
      <c r="Q43" s="8"/>
      <c r="R43" s="7"/>
      <c r="S43" s="9"/>
      <c r="T43" s="15"/>
    </row>
    <row r="44" spans="2:20" x14ac:dyDescent="0.2">
      <c r="B44" s="14"/>
      <c r="C44" s="7"/>
      <c r="D44" s="7"/>
      <c r="E44" s="7"/>
      <c r="F44" s="7"/>
      <c r="G44" s="8"/>
      <c r="H44" s="7"/>
      <c r="I44" s="8"/>
      <c r="J44" s="7"/>
      <c r="K44" s="8"/>
      <c r="L44" s="7"/>
      <c r="M44" s="8"/>
      <c r="N44" s="7"/>
      <c r="O44" s="8"/>
      <c r="P44" s="8"/>
      <c r="Q44" s="8"/>
      <c r="R44" s="7"/>
      <c r="S44" s="9"/>
      <c r="T44" s="15"/>
    </row>
    <row r="45" spans="2:20" x14ac:dyDescent="0.2">
      <c r="B45" s="14"/>
      <c r="C45" s="7"/>
      <c r="D45" s="7"/>
      <c r="E45" s="7"/>
      <c r="F45" s="7"/>
      <c r="G45" s="8"/>
      <c r="H45" s="7"/>
      <c r="I45" s="8"/>
      <c r="J45" s="7"/>
      <c r="K45" s="8"/>
      <c r="L45" s="7"/>
      <c r="M45" s="8"/>
      <c r="N45" s="7"/>
      <c r="O45" s="8"/>
      <c r="P45" s="8"/>
      <c r="Q45" s="8"/>
      <c r="R45" s="7"/>
      <c r="S45" s="9"/>
      <c r="T45" s="15"/>
    </row>
    <row r="46" spans="2:20" ht="13.5" thickBot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8"/>
      <c r="Q46" s="18"/>
      <c r="R46" s="17"/>
      <c r="S46" s="19"/>
      <c r="T46" s="20"/>
    </row>
    <row r="47" spans="2:20" x14ac:dyDescent="0.2">
      <c r="B47" s="13"/>
      <c r="C47" s="1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1" t="s">
        <v>18</v>
      </c>
      <c r="T47" s="26">
        <f>SUM(T11:T46)*0.16</f>
        <v>68944</v>
      </c>
    </row>
    <row r="48" spans="2:20" x14ac:dyDescent="0.2">
      <c r="B48" s="13"/>
      <c r="C48" s="1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2" t="s">
        <v>17</v>
      </c>
      <c r="T48" s="28">
        <f>SUM(T11:T47)</f>
        <v>499844</v>
      </c>
    </row>
    <row r="49" spans="2:20" x14ac:dyDescent="0.2">
      <c r="B49" s="13"/>
      <c r="C49" s="1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41"/>
      <c r="T49" s="141"/>
    </row>
  </sheetData>
  <mergeCells count="4">
    <mergeCell ref="B5:T5"/>
    <mergeCell ref="B6:T6"/>
    <mergeCell ref="B7:T7"/>
    <mergeCell ref="B8:C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101</vt:i4>
      </vt:variant>
    </vt:vector>
  </HeadingPairs>
  <TitlesOfParts>
    <vt:vector size="101" baseType="lpstr">
      <vt:lpstr>2110200</vt:lpstr>
      <vt:lpstr>2110300</vt:lpstr>
      <vt:lpstr>2110600</vt:lpstr>
      <vt:lpstr>2110700</vt:lpstr>
      <vt:lpstr>21201</vt:lpstr>
      <vt:lpstr>2120400</vt:lpstr>
      <vt:lpstr>2140100.</vt:lpstr>
      <vt:lpstr>2150200</vt:lpstr>
      <vt:lpstr>21503</vt:lpstr>
      <vt:lpstr>2160100</vt:lpstr>
      <vt:lpstr>2160200</vt:lpstr>
      <vt:lpstr>PARTIDA 22104</vt:lpstr>
      <vt:lpstr>2210501</vt:lpstr>
      <vt:lpstr>PARTIDA 22106</vt:lpstr>
      <vt:lpstr>PARTIDA 22204</vt:lpstr>
      <vt:lpstr>2230200</vt:lpstr>
      <vt:lpstr>PARTIDA 23701</vt:lpstr>
      <vt:lpstr>PARTIDA 23705</vt:lpstr>
      <vt:lpstr>PARTIDA 23902</vt:lpstr>
      <vt:lpstr>2140100</vt:lpstr>
      <vt:lpstr>2410200 </vt:lpstr>
      <vt:lpstr>2420100</vt:lpstr>
      <vt:lpstr>PARTIDA 24301</vt:lpstr>
      <vt:lpstr>PARTIDA 24503</vt:lpstr>
      <vt:lpstr>2460100</vt:lpstr>
      <vt:lpstr>PARTIDA 24701</vt:lpstr>
      <vt:lpstr>PARTIDA 24702</vt:lpstr>
      <vt:lpstr>2470300 </vt:lpstr>
      <vt:lpstr>2470400</vt:lpstr>
      <vt:lpstr>PARTIDA 24803</vt:lpstr>
      <vt:lpstr>2480700</vt:lpstr>
      <vt:lpstr>2490100</vt:lpstr>
      <vt:lpstr>25102</vt:lpstr>
      <vt:lpstr>2520100</vt:lpstr>
      <vt:lpstr>2530100 </vt:lpstr>
      <vt:lpstr>PARTIDA 25303</vt:lpstr>
      <vt:lpstr>25401</vt:lpstr>
      <vt:lpstr>PARTIDA 25501</vt:lpstr>
      <vt:lpstr>PARTIDA 25502</vt:lpstr>
      <vt:lpstr>PARTIDA 25601</vt:lpstr>
      <vt:lpstr>25901</vt:lpstr>
      <vt:lpstr>2610100</vt:lpstr>
      <vt:lpstr>2710600</vt:lpstr>
      <vt:lpstr>2720300</vt:lpstr>
      <vt:lpstr>2720400</vt:lpstr>
      <vt:lpstr>PARTIDA 27206</vt:lpstr>
      <vt:lpstr>2910100</vt:lpstr>
      <vt:lpstr>29107</vt:lpstr>
      <vt:lpstr>2920200</vt:lpstr>
      <vt:lpstr>2940300</vt:lpstr>
      <vt:lpstr>2960100</vt:lpstr>
      <vt:lpstr>2960200</vt:lpstr>
      <vt:lpstr>2960300</vt:lpstr>
      <vt:lpstr>2960700</vt:lpstr>
      <vt:lpstr>2960900</vt:lpstr>
      <vt:lpstr>2990100</vt:lpstr>
      <vt:lpstr>2990200</vt:lpstr>
      <vt:lpstr>PARTIDA 31101</vt:lpstr>
      <vt:lpstr>3130100</vt:lpstr>
      <vt:lpstr>3170100</vt:lpstr>
      <vt:lpstr>3180100</vt:lpstr>
      <vt:lpstr>3190200</vt:lpstr>
      <vt:lpstr>PARTIDA 32201</vt:lpstr>
      <vt:lpstr>PARTIDA 32302</vt:lpstr>
      <vt:lpstr>3220100</vt:lpstr>
      <vt:lpstr>3230100</vt:lpstr>
      <vt:lpstr>3260100</vt:lpstr>
      <vt:lpstr>3310200</vt:lpstr>
      <vt:lpstr>33102</vt:lpstr>
      <vt:lpstr>33401</vt:lpstr>
      <vt:lpstr>3600</vt:lpstr>
      <vt:lpstr>3360200</vt:lpstr>
      <vt:lpstr>PARTIDA 33604</vt:lpstr>
      <vt:lpstr>33901</vt:lpstr>
      <vt:lpstr>33902</vt:lpstr>
      <vt:lpstr>34101</vt:lpstr>
      <vt:lpstr>34501</vt:lpstr>
      <vt:lpstr>3470100</vt:lpstr>
      <vt:lpstr>3510100</vt:lpstr>
      <vt:lpstr>3510200</vt:lpstr>
      <vt:lpstr>3520100</vt:lpstr>
      <vt:lpstr>3530100</vt:lpstr>
      <vt:lpstr>PARTIDA 35401</vt:lpstr>
      <vt:lpstr>3550100</vt:lpstr>
      <vt:lpstr>3570100</vt:lpstr>
      <vt:lpstr>3610100</vt:lpstr>
      <vt:lpstr>3710100</vt:lpstr>
      <vt:lpstr>3720100</vt:lpstr>
      <vt:lpstr>3740100</vt:lpstr>
      <vt:lpstr>37501</vt:lpstr>
      <vt:lpstr>3790100</vt:lpstr>
      <vt:lpstr>3820100</vt:lpstr>
      <vt:lpstr>3830100</vt:lpstr>
      <vt:lpstr>PARTIDA 39202</vt:lpstr>
      <vt:lpstr>PARTIDA 41901</vt:lpstr>
      <vt:lpstr>43101</vt:lpstr>
      <vt:lpstr>PARTIDA 51107</vt:lpstr>
      <vt:lpstr>5150300</vt:lpstr>
      <vt:lpstr>54101</vt:lpstr>
      <vt:lpstr>54901</vt:lpstr>
      <vt:lpstr>56502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MARTIN1</cp:lastModifiedBy>
  <cp:lastPrinted>2017-07-03T22:12:32Z</cp:lastPrinted>
  <dcterms:created xsi:type="dcterms:W3CDTF">2002-06-07T16:16:59Z</dcterms:created>
  <dcterms:modified xsi:type="dcterms:W3CDTF">2020-04-22T18:15:16Z</dcterms:modified>
</cp:coreProperties>
</file>